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Y\Desktop\☆ 예산총괄\2. 2026년\1. 2026년 본예산\0. 본예산(확정)\"/>
    </mc:Choice>
  </mc:AlternateContent>
  <xr:revisionPtr revIDLastSave="0" documentId="8_{FED7ADDB-52D0-4046-AEE5-4B9F6F92FEE0}" xr6:coauthVersionLast="36" xr6:coauthVersionMax="36" xr10:uidLastSave="{00000000-0000-0000-0000-000000000000}"/>
  <bookViews>
    <workbookView xWindow="0" yWindow="0" windowWidth="28800" windowHeight="12060" xr2:uid="{9E5BD713-4ACF-40C7-9E09-F01BC1E83F70}"/>
  </bookViews>
  <sheets>
    <sheet name="표지" sheetId="1" r:id="rId1"/>
    <sheet name="목차" sheetId="2" r:id="rId2"/>
    <sheet name="1. 사업운영계획" sheetId="3" r:id="rId3"/>
    <sheet name="사업운영계획 1장" sheetId="4" r:id="rId4"/>
    <sheet name="2. 예산총칙" sheetId="5" r:id="rId5"/>
    <sheet name="예산총칙" sheetId="6" r:id="rId6"/>
    <sheet name="3. 예산총괄표" sheetId="8" r:id="rId7"/>
    <sheet name="예산총괄표 3장" sheetId="9" r:id="rId8"/>
    <sheet name="3-1. 사업예산총괄표" sheetId="10" r:id="rId9"/>
    <sheet name="3-2. 자본예산총괄표" sheetId="11" r:id="rId10"/>
    <sheet name="가. 수입예산 총괄표(사업수익+자본적수입)" sheetId="12" r:id="rId11"/>
    <sheet name="나. 지출예산 총괄표" sheetId="13" r:id="rId12"/>
    <sheet name="경영본부" sheetId="14" r:id="rId13"/>
    <sheet name="교통휴양시설부" sheetId="15" r:id="rId14"/>
    <sheet name="도시미화부" sheetId="16" r:id="rId15"/>
    <sheet name="체육시설부" sheetId="17" r:id="rId16"/>
    <sheet name="환경자원사업소" sheetId="18" r:id="rId17"/>
    <sheet name="4. 자금운영계획" sheetId="19" r:id="rId18"/>
    <sheet name="자금운용수입 4장" sheetId="20" r:id="rId19"/>
    <sheet name="자금운용지출5장" sheetId="21" r:id="rId20"/>
    <sheet name="2025년 사고이월 사업조서" sheetId="22" r:id="rId21"/>
  </sheets>
  <definedNames>
    <definedName name="_xlnm._FilterDatabase" localSheetId="12" hidden="1">경영본부!$A$3:$Y$567</definedName>
    <definedName name="_xlnm._FilterDatabase" localSheetId="11" hidden="1">'나. 지출예산 총괄표'!$A$1:$J$353</definedName>
    <definedName name="Document_array">{"Book1"}</definedName>
    <definedName name="_xlnm.Print_Area" localSheetId="2">'1. 사업운영계획'!$A$1:$K$27</definedName>
    <definedName name="_xlnm.Print_Area" localSheetId="4">'2. 예산총칙'!$A$1:$K$19</definedName>
    <definedName name="_xlnm.Print_Area" localSheetId="6">'3. 예산총괄표'!$A$1:$K$19</definedName>
    <definedName name="_xlnm.Print_Area" localSheetId="17">'4. 자금운영계획'!$A$1:$K$19</definedName>
    <definedName name="_xlnm.Print_Area" localSheetId="12">경영본부!$A$1:$M$567</definedName>
    <definedName name="_xlnm.Print_Area" localSheetId="13">교통휴양시설부!$A$1:$M$324</definedName>
    <definedName name="_xlnm.Print_Area" localSheetId="11">'나. 지출예산 총괄표'!$A$1:$J$353</definedName>
    <definedName name="_xlnm.Print_Area" localSheetId="14">도시미화부!$A$1:$M$283</definedName>
    <definedName name="_xlnm.Print_Area" localSheetId="1">목차!$A$1:$L$16</definedName>
    <definedName name="_xlnm.Print_Area" localSheetId="3">'사업운영계획 1장'!$A$1:$G$33</definedName>
    <definedName name="_xlnm.Print_Area" localSheetId="7">'예산총괄표 3장'!$A$1:$G$22</definedName>
    <definedName name="_xlnm.Print_Area" localSheetId="19">자금운용지출5장!$A$1:$G$37</definedName>
    <definedName name="_xlnm.Print_Area" localSheetId="15">체육시설부!$A$1:$M$370</definedName>
    <definedName name="_xlnm.Print_Area" localSheetId="0">표지!$A$1:$H$17</definedName>
    <definedName name="_xlnm.Print_Area" localSheetId="16">환경자원사업소!$A$1:$M$186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2" i="17" l="1"/>
  <c r="M67" i="18"/>
  <c r="M73" i="18"/>
  <c r="K23" i="22" l="1"/>
  <c r="J23" i="22"/>
  <c r="I23" i="22"/>
  <c r="H23" i="22"/>
  <c r="G23" i="22"/>
  <c r="F23" i="22"/>
  <c r="K22" i="22"/>
  <c r="J22" i="22"/>
  <c r="I22" i="22"/>
  <c r="H22" i="22"/>
  <c r="G22" i="22"/>
  <c r="F22" i="22"/>
  <c r="K21" i="22"/>
  <c r="J21" i="22"/>
  <c r="I21" i="22"/>
  <c r="H21" i="22"/>
  <c r="G21" i="22"/>
  <c r="F21" i="22"/>
  <c r="K20" i="22"/>
  <c r="J20" i="22"/>
  <c r="I20" i="22"/>
  <c r="H20" i="22"/>
  <c r="G20" i="22"/>
  <c r="F20" i="22"/>
  <c r="K19" i="22"/>
  <c r="J19" i="22"/>
  <c r="I19" i="22"/>
  <c r="H19" i="22"/>
  <c r="G19" i="22"/>
  <c r="F19" i="22"/>
  <c r="K17" i="22"/>
  <c r="J17" i="22"/>
  <c r="I17" i="22"/>
  <c r="H17" i="22"/>
  <c r="G17" i="22"/>
  <c r="F17" i="22"/>
  <c r="K16" i="22"/>
  <c r="J16" i="22"/>
  <c r="I16" i="22"/>
  <c r="H16" i="22"/>
  <c r="G16" i="22"/>
  <c r="F16" i="22"/>
  <c r="K15" i="22"/>
  <c r="J15" i="22"/>
  <c r="I15" i="22"/>
  <c r="H15" i="22"/>
  <c r="G15" i="22"/>
  <c r="F15" i="22"/>
  <c r="K14" i="22"/>
  <c r="J14" i="22"/>
  <c r="I14" i="22"/>
  <c r="H14" i="22"/>
  <c r="G14" i="22"/>
  <c r="F14" i="22"/>
  <c r="K12" i="22"/>
  <c r="J12" i="22"/>
  <c r="I12" i="22"/>
  <c r="H12" i="22"/>
  <c r="G12" i="22"/>
  <c r="F12" i="22"/>
  <c r="K11" i="22"/>
  <c r="J11" i="22"/>
  <c r="I11" i="22"/>
  <c r="H11" i="22"/>
  <c r="G11" i="22"/>
  <c r="F11" i="22"/>
  <c r="K10" i="22"/>
  <c r="J10" i="22"/>
  <c r="I10" i="22"/>
  <c r="H10" i="22"/>
  <c r="G10" i="22"/>
  <c r="F10" i="22"/>
  <c r="K9" i="22"/>
  <c r="J9" i="22"/>
  <c r="I9" i="22"/>
  <c r="H9" i="22"/>
  <c r="G9" i="22"/>
  <c r="F9" i="22"/>
  <c r="K8" i="22"/>
  <c r="J8" i="22"/>
  <c r="I8" i="22"/>
  <c r="H8" i="22"/>
  <c r="G8" i="22"/>
  <c r="F8" i="22"/>
  <c r="K7" i="22"/>
  <c r="J7" i="22"/>
  <c r="I7" i="22"/>
  <c r="H7" i="22"/>
  <c r="G7" i="22"/>
  <c r="F7" i="22"/>
  <c r="E18" i="21" l="1"/>
  <c r="E23" i="21"/>
  <c r="E25" i="21"/>
  <c r="E27" i="21"/>
  <c r="E30" i="21"/>
  <c r="E32" i="21"/>
  <c r="E36" i="21"/>
  <c r="D35" i="21"/>
  <c r="E35" i="21"/>
  <c r="E34" i="21"/>
  <c r="E21" i="21"/>
  <c r="E20" i="21"/>
  <c r="E17" i="21"/>
  <c r="E16" i="21"/>
  <c r="E14" i="21"/>
  <c r="E13" i="21"/>
  <c r="E12" i="21"/>
  <c r="E11" i="21"/>
  <c r="E9" i="21"/>
  <c r="E8" i="21"/>
  <c r="E7" i="21"/>
  <c r="E6" i="21"/>
  <c r="D23" i="21" l="1"/>
  <c r="D25" i="21"/>
  <c r="D27" i="21"/>
  <c r="D30" i="21"/>
  <c r="D32" i="21"/>
  <c r="D34" i="21"/>
  <c r="D36" i="21"/>
  <c r="D21" i="21"/>
  <c r="D20" i="21"/>
  <c r="D17" i="21"/>
  <c r="D16" i="21"/>
  <c r="D9" i="21"/>
  <c r="D8" i="21"/>
  <c r="D7" i="21"/>
  <c r="D6" i="21"/>
  <c r="D5" i="20"/>
  <c r="D9" i="20"/>
  <c r="D10" i="20"/>
  <c r="D12" i="20"/>
  <c r="D13" i="20"/>
  <c r="D15" i="20"/>
  <c r="D17" i="20"/>
  <c r="D18" i="20"/>
  <c r="D21" i="20"/>
  <c r="C21" i="20"/>
  <c r="C10" i="20"/>
  <c r="C13" i="20"/>
  <c r="C15" i="20"/>
  <c r="C12" i="20"/>
  <c r="D19" i="4"/>
  <c r="D18" i="4"/>
  <c r="D17" i="4"/>
  <c r="D16" i="4"/>
  <c r="D15" i="4"/>
  <c r="D14" i="4"/>
  <c r="D22" i="6"/>
  <c r="D21" i="6"/>
  <c r="D18" i="6"/>
  <c r="D14" i="6"/>
  <c r="D11" i="6"/>
  <c r="B26" i="6"/>
  <c r="B27" i="6"/>
  <c r="B24" i="6"/>
  <c r="B12" i="6"/>
  <c r="G16" i="9"/>
  <c r="G17" i="9"/>
  <c r="G18" i="9"/>
  <c r="G19" i="9"/>
  <c r="G20" i="9"/>
  <c r="G21" i="9"/>
  <c r="G13" i="9"/>
  <c r="G11" i="9"/>
  <c r="G8" i="9"/>
  <c r="G9" i="9"/>
  <c r="E21" i="9"/>
  <c r="E16" i="9"/>
  <c r="E18" i="9"/>
  <c r="E13" i="9"/>
  <c r="E11" i="9"/>
  <c r="C18" i="9"/>
  <c r="C17" i="9"/>
  <c r="C16" i="9"/>
  <c r="C13" i="9" l="1"/>
  <c r="C8" i="9"/>
  <c r="F17" i="10"/>
  <c r="F15" i="10"/>
  <c r="F13" i="10"/>
  <c r="F14" i="10"/>
  <c r="F10" i="10"/>
  <c r="C13" i="10"/>
  <c r="C15" i="10"/>
  <c r="C10" i="10"/>
  <c r="F23" i="11"/>
  <c r="F21" i="11"/>
  <c r="F19" i="11"/>
  <c r="F17" i="11"/>
  <c r="F15" i="11"/>
  <c r="F25" i="11"/>
  <c r="F6" i="11"/>
  <c r="C24" i="11"/>
  <c r="C21" i="11"/>
  <c r="C22" i="11"/>
  <c r="C15" i="11"/>
  <c r="C10" i="11"/>
  <c r="C6" i="11"/>
  <c r="F45" i="12"/>
  <c r="F46" i="12"/>
  <c r="K47" i="12"/>
  <c r="F47" i="12" s="1"/>
  <c r="K48" i="12"/>
  <c r="K39" i="12"/>
  <c r="F39" i="12" s="1"/>
  <c r="K38" i="12"/>
  <c r="K37" i="12"/>
  <c r="F37" i="12" s="1"/>
  <c r="K36" i="12"/>
  <c r="F36" i="12" s="1"/>
  <c r="K34" i="12"/>
  <c r="F34" i="12" s="1"/>
  <c r="K33" i="12"/>
  <c r="F33" i="12" s="1"/>
  <c r="K22" i="12"/>
  <c r="F22" i="12" s="1"/>
  <c r="K23" i="12"/>
  <c r="K16" i="12"/>
  <c r="K15" i="12"/>
  <c r="K14" i="12"/>
  <c r="F14" i="12" s="1"/>
  <c r="K13" i="12"/>
  <c r="F13" i="12" s="1"/>
  <c r="K12" i="12"/>
  <c r="F12" i="12" s="1"/>
  <c r="K11" i="12"/>
  <c r="F11" i="12" s="1"/>
  <c r="F15" i="12"/>
  <c r="F16" i="12"/>
  <c r="F24" i="12"/>
  <c r="F25" i="12"/>
  <c r="F26" i="12"/>
  <c r="F27" i="12"/>
  <c r="F35" i="12"/>
  <c r="F38" i="12"/>
  <c r="H345" i="13"/>
  <c r="H346" i="13"/>
  <c r="H347" i="13"/>
  <c r="H350" i="13"/>
  <c r="H351" i="13"/>
  <c r="H353" i="13"/>
  <c r="H352" i="13"/>
  <c r="H349" i="13"/>
  <c r="H348" i="13"/>
  <c r="H324" i="13"/>
  <c r="H325" i="13"/>
  <c r="H328" i="13"/>
  <c r="H331" i="13"/>
  <c r="H332" i="13"/>
  <c r="H334" i="13"/>
  <c r="H333" i="13"/>
  <c r="H330" i="13"/>
  <c r="H329" i="13"/>
  <c r="H327" i="13"/>
  <c r="H326" i="13"/>
  <c r="H293" i="13"/>
  <c r="H302" i="13"/>
  <c r="H303" i="13"/>
  <c r="H305" i="13"/>
  <c r="H304" i="13"/>
  <c r="H298" i="13"/>
  <c r="H299" i="13"/>
  <c r="H301" i="13"/>
  <c r="H300" i="13"/>
  <c r="H294" i="13"/>
  <c r="H295" i="13"/>
  <c r="H297" i="13"/>
  <c r="H296" i="13"/>
  <c r="H234" i="13"/>
  <c r="H235" i="13"/>
  <c r="H236" i="13"/>
  <c r="H269" i="13"/>
  <c r="H280" i="13"/>
  <c r="H281" i="13"/>
  <c r="H290" i="13"/>
  <c r="H289" i="13"/>
  <c r="H288" i="13"/>
  <c r="H287" i="13"/>
  <c r="H286" i="13"/>
  <c r="H285" i="13"/>
  <c r="H284" i="13"/>
  <c r="H283" i="13"/>
  <c r="H282" i="13"/>
  <c r="H279" i="13"/>
  <c r="H278" i="13"/>
  <c r="H277" i="13"/>
  <c r="H276" i="13"/>
  <c r="H275" i="13"/>
  <c r="H274" i="13"/>
  <c r="H273" i="13"/>
  <c r="H272" i="13"/>
  <c r="H271" i="13"/>
  <c r="H270" i="13"/>
  <c r="H266" i="13"/>
  <c r="H265" i="13"/>
  <c r="H264" i="13"/>
  <c r="H263" i="13"/>
  <c r="H262" i="13"/>
  <c r="H261" i="13"/>
  <c r="H260" i="13"/>
  <c r="H259" i="13"/>
  <c r="H258" i="13"/>
  <c r="H257" i="13"/>
  <c r="H256" i="13"/>
  <c r="H255" i="13"/>
  <c r="H254" i="13"/>
  <c r="H253" i="13"/>
  <c r="H252" i="13"/>
  <c r="H251" i="13"/>
  <c r="H250" i="13"/>
  <c r="H249" i="13"/>
  <c r="H248" i="13"/>
  <c r="H247" i="13"/>
  <c r="H246" i="13"/>
  <c r="H245" i="13"/>
  <c r="H244" i="13"/>
  <c r="H243" i="13"/>
  <c r="H242" i="13"/>
  <c r="H241" i="13"/>
  <c r="H240" i="13"/>
  <c r="H239" i="13"/>
  <c r="H238" i="13"/>
  <c r="H237" i="13"/>
  <c r="H194" i="13"/>
  <c r="H195" i="13"/>
  <c r="H208" i="13"/>
  <c r="H207" i="13"/>
  <c r="H204" i="13"/>
  <c r="H203" i="13"/>
  <c r="H202" i="13"/>
  <c r="H201" i="13"/>
  <c r="H200" i="13"/>
  <c r="H199" i="13"/>
  <c r="H198" i="13"/>
  <c r="H197" i="13"/>
  <c r="H196" i="13"/>
  <c r="H164" i="13"/>
  <c r="H165" i="13"/>
  <c r="H182" i="13"/>
  <c r="H185" i="13"/>
  <c r="H189" i="13"/>
  <c r="H193" i="13"/>
  <c r="H192" i="13"/>
  <c r="H191" i="13"/>
  <c r="H190" i="13"/>
  <c r="H188" i="13"/>
  <c r="H187" i="13"/>
  <c r="H184" i="13"/>
  <c r="H183" i="13"/>
  <c r="H181" i="13"/>
  <c r="H180" i="13"/>
  <c r="H179" i="13"/>
  <c r="H178" i="13"/>
  <c r="H177" i="13"/>
  <c r="H176" i="13"/>
  <c r="H175" i="13"/>
  <c r="H174" i="13"/>
  <c r="H173" i="13"/>
  <c r="H172" i="13"/>
  <c r="H171" i="13"/>
  <c r="H170" i="13"/>
  <c r="H169" i="13"/>
  <c r="H168" i="13"/>
  <c r="H167" i="13"/>
  <c r="H166" i="13"/>
  <c r="H8" i="13"/>
  <c r="H66" i="13"/>
  <c r="H67" i="13"/>
  <c r="H86" i="13"/>
  <c r="H88" i="13"/>
  <c r="H87" i="13"/>
  <c r="H85" i="13"/>
  <c r="H84" i="13"/>
  <c r="H83" i="13"/>
  <c r="H82" i="13"/>
  <c r="H81" i="13"/>
  <c r="H80" i="13"/>
  <c r="H79" i="13"/>
  <c r="H78" i="13"/>
  <c r="H77" i="13" l="1"/>
  <c r="H76" i="13"/>
  <c r="H75" i="13"/>
  <c r="H74" i="13"/>
  <c r="H73" i="13"/>
  <c r="H72" i="13"/>
  <c r="H71" i="13"/>
  <c r="H70" i="13"/>
  <c r="H69" i="13"/>
  <c r="H68" i="13"/>
  <c r="H47" i="13"/>
  <c r="H48" i="13"/>
  <c r="H63" i="13"/>
  <c r="H65" i="13"/>
  <c r="H64" i="13"/>
  <c r="H62" i="13"/>
  <c r="H61" i="13"/>
  <c r="H60" i="13"/>
  <c r="H59" i="13"/>
  <c r="H58" i="13"/>
  <c r="H57" i="13"/>
  <c r="H56" i="13"/>
  <c r="H55" i="13"/>
  <c r="H54" i="13"/>
  <c r="H53" i="13" l="1"/>
  <c r="H52" i="13"/>
  <c r="H51" i="13"/>
  <c r="H50" i="13"/>
  <c r="H49" i="13"/>
  <c r="H22" i="13"/>
  <c r="H31" i="13"/>
  <c r="H32" i="13"/>
  <c r="H44" i="13"/>
  <c r="H46" i="13"/>
  <c r="H45" i="13"/>
  <c r="H43" i="13"/>
  <c r="H42" i="13"/>
  <c r="H41" i="13"/>
  <c r="H40" i="13"/>
  <c r="H39" i="13"/>
  <c r="H38" i="13"/>
  <c r="H37" i="13"/>
  <c r="H36" i="13"/>
  <c r="H35" i="13"/>
  <c r="H34" i="13"/>
  <c r="H33" i="13"/>
  <c r="H9" i="13"/>
  <c r="H10" i="13"/>
  <c r="H28" i="13"/>
  <c r="H30" i="13"/>
  <c r="H29" i="13"/>
  <c r="H27" i="13"/>
  <c r="H26" i="13"/>
  <c r="H25" i="13"/>
  <c r="H24" i="13"/>
  <c r="H23" i="13"/>
  <c r="H21" i="13"/>
  <c r="H20" i="13"/>
  <c r="H19" i="13"/>
  <c r="H18" i="13"/>
  <c r="H17" i="13"/>
  <c r="H16" i="13"/>
  <c r="H15" i="13"/>
  <c r="H14" i="13"/>
  <c r="H13" i="13"/>
  <c r="H12" i="13"/>
  <c r="H11" i="13"/>
  <c r="E19" i="21" l="1"/>
  <c r="E15" i="21"/>
  <c r="E10" i="21"/>
  <c r="E5" i="21"/>
  <c r="D19" i="21"/>
  <c r="D5" i="21"/>
  <c r="F6" i="21"/>
  <c r="F7" i="21"/>
  <c r="F8" i="21"/>
  <c r="F9" i="21"/>
  <c r="F16" i="21"/>
  <c r="F17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E22" i="20"/>
  <c r="E21" i="20"/>
  <c r="E20" i="20"/>
  <c r="E19" i="20"/>
  <c r="E16" i="20"/>
  <c r="E15" i="20"/>
  <c r="E14" i="20"/>
  <c r="E13" i="20"/>
  <c r="E12" i="20"/>
  <c r="E8" i="20"/>
  <c r="E7" i="20"/>
  <c r="E6" i="20"/>
  <c r="D4" i="20"/>
  <c r="E11" i="20"/>
  <c r="E10" i="20"/>
  <c r="C19" i="20"/>
  <c r="D19" i="20"/>
  <c r="M12" i="18"/>
  <c r="M11" i="18" s="1"/>
  <c r="H11" i="18" s="1"/>
  <c r="M17" i="18"/>
  <c r="M22" i="18"/>
  <c r="M24" i="18"/>
  <c r="M27" i="18"/>
  <c r="M31" i="18"/>
  <c r="M33" i="18"/>
  <c r="H33" i="18" s="1"/>
  <c r="H215" i="13" s="1"/>
  <c r="M34" i="18"/>
  <c r="M51" i="18"/>
  <c r="M57" i="18"/>
  <c r="M63" i="18"/>
  <c r="H214" i="13" l="1"/>
  <c r="E4" i="21"/>
  <c r="E3" i="21" s="1"/>
  <c r="F19" i="21"/>
  <c r="F5" i="21"/>
  <c r="M68" i="18" l="1"/>
  <c r="M76" i="18"/>
  <c r="M75" i="18" s="1"/>
  <c r="H75" i="18" s="1"/>
  <c r="H217" i="13" s="1"/>
  <c r="M80" i="18"/>
  <c r="M94" i="18"/>
  <c r="M97" i="18"/>
  <c r="M99" i="18"/>
  <c r="M102" i="18"/>
  <c r="M106" i="18"/>
  <c r="M105" i="18" s="1"/>
  <c r="H105" i="18" s="1"/>
  <c r="H219" i="13" s="1"/>
  <c r="M111" i="18"/>
  <c r="H111" i="18" s="1"/>
  <c r="M115" i="18"/>
  <c r="H115" i="18" s="1"/>
  <c r="M120" i="18"/>
  <c r="H120" i="18" s="1"/>
  <c r="H138" i="18"/>
  <c r="H228" i="13" s="1"/>
  <c r="M138" i="18"/>
  <c r="M140" i="18"/>
  <c r="H140" i="18" s="1"/>
  <c r="H229" i="13" s="1"/>
  <c r="M144" i="18"/>
  <c r="M143" i="18" s="1"/>
  <c r="H143" i="18" s="1"/>
  <c r="M146" i="18"/>
  <c r="M150" i="18"/>
  <c r="M153" i="18"/>
  <c r="M157" i="18"/>
  <c r="M87" i="18" l="1"/>
  <c r="H87" i="18" s="1"/>
  <c r="H218" i="13" s="1"/>
  <c r="M152" i="18"/>
  <c r="H152" i="18" s="1"/>
  <c r="H67" i="18"/>
  <c r="H10" i="18" s="1"/>
  <c r="J10" i="18" s="1"/>
  <c r="H221" i="13"/>
  <c r="H110" i="18"/>
  <c r="H220" i="13" s="1"/>
  <c r="H223" i="13"/>
  <c r="H114" i="18"/>
  <c r="H222" i="13" s="1"/>
  <c r="H231" i="13"/>
  <c r="H142" i="18"/>
  <c r="H230" i="13" s="1"/>
  <c r="H233" i="13"/>
  <c r="H232" i="13"/>
  <c r="H226" i="13"/>
  <c r="H119" i="18"/>
  <c r="H137" i="18"/>
  <c r="H227" i="13" s="1"/>
  <c r="M169" i="18"/>
  <c r="M168" i="18" s="1"/>
  <c r="H168" i="18" s="1"/>
  <c r="M175" i="18"/>
  <c r="M177" i="18"/>
  <c r="M183" i="18"/>
  <c r="M182" i="18" s="1"/>
  <c r="H182" i="18" s="1"/>
  <c r="P186" i="18"/>
  <c r="O186" i="18" s="1"/>
  <c r="P185" i="18"/>
  <c r="O185" i="18" s="1"/>
  <c r="P184" i="18"/>
  <c r="O184" i="18" s="1"/>
  <c r="P183" i="18"/>
  <c r="O183" i="18" s="1"/>
  <c r="P178" i="18"/>
  <c r="O178" i="18"/>
  <c r="P176" i="18"/>
  <c r="O176" i="18" s="1"/>
  <c r="O175" i="18" s="1"/>
  <c r="P170" i="18"/>
  <c r="O170" i="18" s="1"/>
  <c r="O169" i="18" s="1"/>
  <c r="P161" i="18"/>
  <c r="P160" i="18"/>
  <c r="P159" i="18"/>
  <c r="P158" i="18"/>
  <c r="O157" i="18" s="1"/>
  <c r="P156" i="18"/>
  <c r="O156" i="18" s="1"/>
  <c r="P155" i="18"/>
  <c r="P154" i="18"/>
  <c r="O153" i="18" s="1"/>
  <c r="P151" i="18"/>
  <c r="O150" i="18"/>
  <c r="P149" i="18"/>
  <c r="O149" i="18" s="1"/>
  <c r="P148" i="18"/>
  <c r="O148" i="18" s="1"/>
  <c r="P147" i="18"/>
  <c r="O146" i="18" s="1"/>
  <c r="P145" i="18"/>
  <c r="O144" i="18" s="1"/>
  <c r="P140" i="18"/>
  <c r="O140" i="18"/>
  <c r="O137" i="18" s="1"/>
  <c r="P136" i="18"/>
  <c r="P135" i="18"/>
  <c r="P134" i="18"/>
  <c r="P133" i="18"/>
  <c r="P132" i="18"/>
  <c r="P131" i="18"/>
  <c r="P130" i="18"/>
  <c r="P129" i="18"/>
  <c r="P128" i="18"/>
  <c r="P127" i="18"/>
  <c r="P126" i="18"/>
  <c r="P125" i="18"/>
  <c r="P124" i="18"/>
  <c r="P123" i="18"/>
  <c r="P122" i="18"/>
  <c r="P121" i="18"/>
  <c r="P116" i="18"/>
  <c r="O115" i="18" s="1"/>
  <c r="O114" i="18" s="1"/>
  <c r="P113" i="18"/>
  <c r="O111" i="18" s="1"/>
  <c r="P112" i="18"/>
  <c r="P109" i="18"/>
  <c r="P108" i="18"/>
  <c r="P107" i="18"/>
  <c r="P104" i="18"/>
  <c r="P103" i="18"/>
  <c r="O102" i="18" s="1"/>
  <c r="P101" i="18"/>
  <c r="P100" i="18"/>
  <c r="O99" i="18" s="1"/>
  <c r="P98" i="18"/>
  <c r="O97" i="18" s="1"/>
  <c r="P96" i="18"/>
  <c r="P95" i="18"/>
  <c r="P93" i="18"/>
  <c r="P92" i="18"/>
  <c r="P91" i="18"/>
  <c r="P90" i="18"/>
  <c r="P89" i="18"/>
  <c r="P88" i="18"/>
  <c r="P86" i="18"/>
  <c r="O86" i="18" s="1"/>
  <c r="O85" i="18"/>
  <c r="P84" i="18"/>
  <c r="P83" i="18"/>
  <c r="P82" i="18"/>
  <c r="P81" i="18"/>
  <c r="O80" i="18" s="1"/>
  <c r="P79" i="18"/>
  <c r="P78" i="18"/>
  <c r="P77" i="18"/>
  <c r="P74" i="18"/>
  <c r="O73" i="18" s="1"/>
  <c r="P72" i="18"/>
  <c r="P71" i="18"/>
  <c r="P70" i="18"/>
  <c r="P69" i="18"/>
  <c r="P66" i="18"/>
  <c r="O66" i="18"/>
  <c r="P65" i="18"/>
  <c r="P64" i="18"/>
  <c r="P62" i="18"/>
  <c r="P61" i="18"/>
  <c r="P60" i="18"/>
  <c r="P59" i="18"/>
  <c r="P58" i="18"/>
  <c r="O58" i="18" s="1"/>
  <c r="P56" i="18"/>
  <c r="P55" i="18"/>
  <c r="P54" i="18"/>
  <c r="P53" i="18"/>
  <c r="P52" i="18"/>
  <c r="P50" i="18"/>
  <c r="P49" i="18"/>
  <c r="P48" i="18"/>
  <c r="P47" i="18"/>
  <c r="P46" i="18"/>
  <c r="P45" i="18"/>
  <c r="P44" i="18"/>
  <c r="P43" i="18"/>
  <c r="P42" i="18"/>
  <c r="P41" i="18"/>
  <c r="P40" i="18"/>
  <c r="P39" i="18"/>
  <c r="P38" i="18"/>
  <c r="P37" i="18"/>
  <c r="P36" i="18"/>
  <c r="P35" i="18"/>
  <c r="P32" i="18"/>
  <c r="O31" i="18" s="1"/>
  <c r="P30" i="18"/>
  <c r="P29" i="18"/>
  <c r="P28" i="18"/>
  <c r="P26" i="18"/>
  <c r="P25" i="18"/>
  <c r="O24" i="18" s="1"/>
  <c r="P23" i="18"/>
  <c r="O22" i="18" s="1"/>
  <c r="P21" i="18"/>
  <c r="P18" i="18"/>
  <c r="P16" i="18"/>
  <c r="P15" i="18"/>
  <c r="P14" i="18"/>
  <c r="J152" i="18"/>
  <c r="J143" i="18"/>
  <c r="J142" i="18"/>
  <c r="J140" i="18"/>
  <c r="J138" i="18"/>
  <c r="J137" i="18"/>
  <c r="J119" i="18"/>
  <c r="J120" i="18"/>
  <c r="J115" i="18"/>
  <c r="J114" i="18"/>
  <c r="J111" i="18"/>
  <c r="J110" i="18"/>
  <c r="J105" i="18"/>
  <c r="J87" i="18"/>
  <c r="J75" i="18"/>
  <c r="J33" i="18"/>
  <c r="J11" i="18"/>
  <c r="M12" i="17"/>
  <c r="M11" i="17" s="1"/>
  <c r="H11" i="17" s="1"/>
  <c r="M22" i="17"/>
  <c r="H22" i="17" s="1"/>
  <c r="H95" i="13" s="1"/>
  <c r="M35" i="17"/>
  <c r="H35" i="17" s="1"/>
  <c r="H96" i="13" s="1"/>
  <c r="M37" i="17"/>
  <c r="H37" i="17" s="1"/>
  <c r="H97" i="13" s="1"/>
  <c r="M62" i="17"/>
  <c r="H62" i="17" s="1"/>
  <c r="H98" i="13" s="1"/>
  <c r="M66" i="17"/>
  <c r="H66" i="17" s="1"/>
  <c r="H99" i="13" s="1"/>
  <c r="M72" i="17"/>
  <c r="H72" i="17" s="1"/>
  <c r="H100" i="13" s="1"/>
  <c r="M83" i="17"/>
  <c r="H83" i="17" s="1"/>
  <c r="M87" i="17"/>
  <c r="H87" i="17" s="1"/>
  <c r="M91" i="17"/>
  <c r="M90" i="17" s="1"/>
  <c r="H90" i="17" s="1"/>
  <c r="H106" i="13" s="1"/>
  <c r="M98" i="17"/>
  <c r="H98" i="17" s="1"/>
  <c r="M103" i="17"/>
  <c r="H103" i="17" s="1"/>
  <c r="M105" i="17"/>
  <c r="H105" i="17" s="1"/>
  <c r="H112" i="13" s="1"/>
  <c r="M108" i="17"/>
  <c r="H108" i="17" s="1"/>
  <c r="M174" i="18" l="1"/>
  <c r="H174" i="18" s="1"/>
  <c r="O68" i="18"/>
  <c r="O63" i="18"/>
  <c r="H216" i="13"/>
  <c r="J67" i="18"/>
  <c r="J174" i="18"/>
  <c r="H341" i="13"/>
  <c r="H173" i="18"/>
  <c r="J182" i="18"/>
  <c r="H344" i="13"/>
  <c r="H181" i="18"/>
  <c r="H213" i="13"/>
  <c r="H210" i="13" s="1"/>
  <c r="H9" i="18"/>
  <c r="O34" i="18"/>
  <c r="O120" i="18"/>
  <c r="O143" i="18"/>
  <c r="H225" i="13"/>
  <c r="H224" i="13" s="1"/>
  <c r="H118" i="18"/>
  <c r="O12" i="18"/>
  <c r="O94" i="18"/>
  <c r="O105" i="18"/>
  <c r="O76" i="18"/>
  <c r="O75" i="18" s="1"/>
  <c r="J168" i="18"/>
  <c r="H338" i="13"/>
  <c r="H167" i="18"/>
  <c r="O17" i="18"/>
  <c r="O27" i="18"/>
  <c r="O88" i="18"/>
  <c r="O87" i="18" s="1"/>
  <c r="H114" i="13"/>
  <c r="H107" i="17"/>
  <c r="H113" i="13" s="1"/>
  <c r="H93" i="13"/>
  <c r="H10" i="17"/>
  <c r="H104" i="13"/>
  <c r="H86" i="17"/>
  <c r="H103" i="13" s="1"/>
  <c r="H111" i="13"/>
  <c r="H102" i="17"/>
  <c r="H108" i="13"/>
  <c r="H97" i="17"/>
  <c r="H89" i="17"/>
  <c r="H105" i="13" s="1"/>
  <c r="H21" i="17"/>
  <c r="H82" i="17"/>
  <c r="H101" i="13" s="1"/>
  <c r="H102" i="13"/>
  <c r="O152" i="18"/>
  <c r="O67" i="18"/>
  <c r="O182" i="18"/>
  <c r="O11" i="18"/>
  <c r="M116" i="17"/>
  <c r="M122" i="17"/>
  <c r="M126" i="17"/>
  <c r="H126" i="17" s="1"/>
  <c r="M140" i="17"/>
  <c r="H140" i="17" s="1"/>
  <c r="H121" i="13" s="1"/>
  <c r="H142" i="17"/>
  <c r="H122" i="13" s="1"/>
  <c r="M160" i="17"/>
  <c r="H160" i="17" s="1"/>
  <c r="H123" i="13" s="1"/>
  <c r="M163" i="17"/>
  <c r="H163" i="17" s="1"/>
  <c r="H166" i="17"/>
  <c r="M166" i="17"/>
  <c r="M178" i="17"/>
  <c r="H178" i="17" s="1"/>
  <c r="M180" i="17"/>
  <c r="H180" i="17" s="1"/>
  <c r="H129" i="13" s="1"/>
  <c r="M183" i="17"/>
  <c r="H183" i="17" s="1"/>
  <c r="M190" i="17"/>
  <c r="H190" i="17" s="1"/>
  <c r="H135" i="13" s="1"/>
  <c r="M115" i="17" l="1"/>
  <c r="H115" i="17" s="1"/>
  <c r="H114" i="17" s="1"/>
  <c r="O33" i="18"/>
  <c r="H209" i="13"/>
  <c r="K21" i="12" s="1"/>
  <c r="F21" i="12" s="1"/>
  <c r="H343" i="13"/>
  <c r="H342" i="13" s="1"/>
  <c r="H180" i="18"/>
  <c r="J181" i="18"/>
  <c r="H337" i="13"/>
  <c r="H336" i="13" s="1"/>
  <c r="H166" i="18"/>
  <c r="J167" i="18"/>
  <c r="J173" i="18"/>
  <c r="H340" i="13"/>
  <c r="H339" i="13" s="1"/>
  <c r="F12" i="11" s="1"/>
  <c r="H172" i="18"/>
  <c r="H8" i="18"/>
  <c r="J9" i="18"/>
  <c r="H117" i="18"/>
  <c r="J117" i="18" s="1"/>
  <c r="J118" i="18"/>
  <c r="H125" i="17"/>
  <c r="H120" i="13"/>
  <c r="J163" i="17"/>
  <c r="H124" i="13"/>
  <c r="H182" i="17"/>
  <c r="H130" i="13" s="1"/>
  <c r="H131" i="13"/>
  <c r="H107" i="13"/>
  <c r="H96" i="17"/>
  <c r="H92" i="13"/>
  <c r="H9" i="17"/>
  <c r="H177" i="17"/>
  <c r="H127" i="13" s="1"/>
  <c r="H126" i="13" s="1"/>
  <c r="H128" i="13"/>
  <c r="H110" i="13"/>
  <c r="H109" i="13" s="1"/>
  <c r="H101" i="17"/>
  <c r="H100" i="17" s="1"/>
  <c r="J166" i="17"/>
  <c r="H125" i="13"/>
  <c r="H94" i="13"/>
  <c r="H20" i="17"/>
  <c r="H176" i="17"/>
  <c r="H175" i="17" s="1"/>
  <c r="H118" i="13" l="1"/>
  <c r="H8" i="17"/>
  <c r="H7" i="17" s="1"/>
  <c r="H163" i="13"/>
  <c r="C15" i="9" s="1"/>
  <c r="D13" i="6" s="1"/>
  <c r="H179" i="18"/>
  <c r="J179" i="18" s="1"/>
  <c r="J180" i="18"/>
  <c r="J172" i="18"/>
  <c r="H171" i="18"/>
  <c r="J171" i="18" s="1"/>
  <c r="H165" i="18"/>
  <c r="J166" i="18"/>
  <c r="H7" i="18"/>
  <c r="J8" i="18"/>
  <c r="H335" i="13"/>
  <c r="H91" i="13"/>
  <c r="H90" i="13" s="1"/>
  <c r="K17" i="12" s="1"/>
  <c r="F17" i="12" s="1"/>
  <c r="H124" i="17"/>
  <c r="J124" i="17" s="1"/>
  <c r="H119" i="13"/>
  <c r="H113" i="17"/>
  <c r="H117" i="13"/>
  <c r="M201" i="17"/>
  <c r="H201" i="17" s="1"/>
  <c r="H136" i="13" s="1"/>
  <c r="M203" i="17"/>
  <c r="H203" i="17" s="1"/>
  <c r="M217" i="17"/>
  <c r="H217" i="17" s="1"/>
  <c r="M219" i="17"/>
  <c r="H219" i="17" s="1"/>
  <c r="M221" i="17"/>
  <c r="H221" i="17" s="1"/>
  <c r="M233" i="17"/>
  <c r="H233" i="17" s="1"/>
  <c r="M236" i="17"/>
  <c r="H236" i="17" s="1"/>
  <c r="H145" i="13" s="1"/>
  <c r="M246" i="17"/>
  <c r="M256" i="17"/>
  <c r="M264" i="17"/>
  <c r="M271" i="17"/>
  <c r="M276" i="17"/>
  <c r="H276" i="17" s="1"/>
  <c r="M289" i="17"/>
  <c r="H289" i="17" s="1"/>
  <c r="M291" i="17"/>
  <c r="H291" i="17" s="1"/>
  <c r="M307" i="17"/>
  <c r="H307" i="17" s="1"/>
  <c r="M310" i="17"/>
  <c r="H310" i="17" s="1"/>
  <c r="M313" i="17"/>
  <c r="H313" i="17" s="1"/>
  <c r="M326" i="17"/>
  <c r="H326" i="17" s="1"/>
  <c r="M328" i="17"/>
  <c r="H328" i="17" s="1"/>
  <c r="M331" i="17"/>
  <c r="H331" i="17" s="1"/>
  <c r="H162" i="13" s="1"/>
  <c r="M341" i="17"/>
  <c r="H341" i="17" s="1"/>
  <c r="H310" i="13" s="1"/>
  <c r="M351" i="17"/>
  <c r="H351" i="17" s="1"/>
  <c r="M360" i="17"/>
  <c r="H360" i="17" s="1"/>
  <c r="H318" i="13" s="1"/>
  <c r="H370" i="17"/>
  <c r="J190" i="17"/>
  <c r="J183" i="17"/>
  <c r="J182" i="17"/>
  <c r="J180" i="17"/>
  <c r="J176" i="17"/>
  <c r="J177" i="17"/>
  <c r="J178" i="17"/>
  <c r="J175" i="17"/>
  <c r="J160" i="17"/>
  <c r="J142" i="17"/>
  <c r="J140" i="17"/>
  <c r="J125" i="17"/>
  <c r="J126" i="17"/>
  <c r="J113" i="17"/>
  <c r="J114" i="17"/>
  <c r="J115" i="17"/>
  <c r="J108" i="17"/>
  <c r="J107" i="17"/>
  <c r="J105" i="17"/>
  <c r="J101" i="17"/>
  <c r="J102" i="17"/>
  <c r="J103" i="17"/>
  <c r="J100" i="17"/>
  <c r="J98" i="17"/>
  <c r="J97" i="17"/>
  <c r="J96" i="17"/>
  <c r="J90" i="17"/>
  <c r="J89" i="17"/>
  <c r="J87" i="17"/>
  <c r="J86" i="17"/>
  <c r="J83" i="17"/>
  <c r="J82" i="17"/>
  <c r="J72" i="17"/>
  <c r="J66" i="17"/>
  <c r="J62" i="17"/>
  <c r="J37" i="17"/>
  <c r="J35" i="17"/>
  <c r="J22" i="17"/>
  <c r="J21" i="17"/>
  <c r="J20" i="17"/>
  <c r="J7" i="17"/>
  <c r="J8" i="17"/>
  <c r="J9" i="17"/>
  <c r="J10" i="17"/>
  <c r="J11" i="17"/>
  <c r="H263" i="16"/>
  <c r="H264" i="16"/>
  <c r="H265" i="16"/>
  <c r="H266" i="16"/>
  <c r="H267" i="16"/>
  <c r="H268" i="16"/>
  <c r="H275" i="16"/>
  <c r="H276" i="16"/>
  <c r="H277" i="16"/>
  <c r="H278" i="16"/>
  <c r="H279" i="16"/>
  <c r="H280" i="16"/>
  <c r="H281" i="16"/>
  <c r="H282" i="16"/>
  <c r="H4" i="16"/>
  <c r="J4" i="16" s="1"/>
  <c r="H5" i="16"/>
  <c r="H190" i="16"/>
  <c r="H7" i="16" s="1"/>
  <c r="H8" i="16"/>
  <c r="H9" i="16"/>
  <c r="H10" i="16"/>
  <c r="H11" i="16"/>
  <c r="M11" i="16"/>
  <c r="M12" i="16"/>
  <c r="M13" i="16"/>
  <c r="M18" i="16"/>
  <c r="M21" i="16"/>
  <c r="M26" i="16"/>
  <c r="M31" i="16"/>
  <c r="M60" i="16"/>
  <c r="M34" i="16" s="1"/>
  <c r="M39" i="16"/>
  <c r="M43" i="16"/>
  <c r="M49" i="16"/>
  <c r="M54" i="16"/>
  <c r="M62" i="16"/>
  <c r="M63" i="16"/>
  <c r="M64" i="16"/>
  <c r="M61" i="16"/>
  <c r="M59" i="16"/>
  <c r="M58" i="16"/>
  <c r="M56" i="16"/>
  <c r="M57" i="16"/>
  <c r="M55" i="16"/>
  <c r="M51" i="16"/>
  <c r="M52" i="16"/>
  <c r="M53" i="16"/>
  <c r="M50" i="16"/>
  <c r="M45" i="16"/>
  <c r="M46" i="16"/>
  <c r="M47" i="16"/>
  <c r="M48" i="16"/>
  <c r="M44" i="16"/>
  <c r="M41" i="16"/>
  <c r="M42" i="16"/>
  <c r="M40" i="16"/>
  <c r="M36" i="16"/>
  <c r="M37" i="16"/>
  <c r="M38" i="16"/>
  <c r="M35" i="16"/>
  <c r="M33" i="16"/>
  <c r="M32" i="16"/>
  <c r="M30" i="16"/>
  <c r="M28" i="16"/>
  <c r="M29" i="16"/>
  <c r="M27" i="16"/>
  <c r="M23" i="16"/>
  <c r="M24" i="16"/>
  <c r="M25" i="16"/>
  <c r="M22" i="16"/>
  <c r="M20" i="16"/>
  <c r="M19" i="16"/>
  <c r="M15" i="16"/>
  <c r="M16" i="16"/>
  <c r="M17" i="16"/>
  <c r="M14" i="16"/>
  <c r="H69" i="16"/>
  <c r="H70" i="16"/>
  <c r="H65" i="16"/>
  <c r="M65" i="16"/>
  <c r="M68" i="16"/>
  <c r="M67" i="16"/>
  <c r="H71" i="16"/>
  <c r="M71" i="16"/>
  <c r="M96" i="16"/>
  <c r="M72" i="16"/>
  <c r="M83" i="16"/>
  <c r="M85" i="16"/>
  <c r="M86" i="16"/>
  <c r="M87" i="16"/>
  <c r="M88" i="16"/>
  <c r="M89" i="16"/>
  <c r="M90" i="16"/>
  <c r="M91" i="16"/>
  <c r="M92" i="16"/>
  <c r="M93" i="16"/>
  <c r="M94" i="16"/>
  <c r="M95" i="16"/>
  <c r="M84" i="16"/>
  <c r="M82" i="16"/>
  <c r="M81" i="16"/>
  <c r="M80" i="16"/>
  <c r="M74" i="16"/>
  <c r="M75" i="16"/>
  <c r="M76" i="16"/>
  <c r="M77" i="16"/>
  <c r="M78" i="16"/>
  <c r="M79" i="16"/>
  <c r="M73" i="16"/>
  <c r="H97" i="16"/>
  <c r="M97" i="16"/>
  <c r="H99" i="16"/>
  <c r="M99" i="16"/>
  <c r="M100" i="16"/>
  <c r="M105" i="16"/>
  <c r="M106" i="16"/>
  <c r="M102" i="16"/>
  <c r="M103" i="16"/>
  <c r="M104" i="16"/>
  <c r="M101" i="16"/>
  <c r="H107" i="16"/>
  <c r="J107" i="16" s="1"/>
  <c r="M107" i="16"/>
  <c r="M108" i="16"/>
  <c r="M110" i="16"/>
  <c r="M111" i="16"/>
  <c r="M112" i="16"/>
  <c r="M113" i="16"/>
  <c r="M114" i="16"/>
  <c r="M115" i="16"/>
  <c r="M116" i="16"/>
  <c r="M117" i="16"/>
  <c r="M109" i="16"/>
  <c r="H118" i="16"/>
  <c r="J118" i="16" s="1"/>
  <c r="M121" i="16"/>
  <c r="M118" i="16" s="1"/>
  <c r="M123" i="16"/>
  <c r="M124" i="16"/>
  <c r="M125" i="16"/>
  <c r="M122" i="16"/>
  <c r="M120" i="16"/>
  <c r="M119" i="16"/>
  <c r="H126" i="16"/>
  <c r="M126" i="16"/>
  <c r="M128" i="16"/>
  <c r="M133" i="16"/>
  <c r="M130" i="16"/>
  <c r="M131" i="16"/>
  <c r="M132" i="16"/>
  <c r="M129" i="16"/>
  <c r="M127" i="16"/>
  <c r="H134" i="16"/>
  <c r="H135" i="16"/>
  <c r="J135" i="16" s="1"/>
  <c r="M135" i="16"/>
  <c r="M136" i="16"/>
  <c r="M138" i="16"/>
  <c r="M142" i="16"/>
  <c r="M141" i="16"/>
  <c r="M140" i="16"/>
  <c r="M139" i="16"/>
  <c r="M137" i="16"/>
  <c r="H143" i="16"/>
  <c r="J143" i="16" s="1"/>
  <c r="H144" i="16"/>
  <c r="M144" i="16"/>
  <c r="M145" i="16"/>
  <c r="H146" i="16"/>
  <c r="H147" i="16"/>
  <c r="M147" i="16"/>
  <c r="M149" i="16"/>
  <c r="M148" i="16"/>
  <c r="H150" i="16"/>
  <c r="H151" i="16"/>
  <c r="H152" i="16"/>
  <c r="H153" i="16"/>
  <c r="J153" i="16" s="1"/>
  <c r="M153" i="16"/>
  <c r="M154" i="16"/>
  <c r="M182" i="16"/>
  <c r="M181" i="16"/>
  <c r="M180" i="16"/>
  <c r="M179" i="16"/>
  <c r="M174" i="16"/>
  <c r="M175" i="16"/>
  <c r="M176" i="16"/>
  <c r="M177" i="16"/>
  <c r="M178" i="16"/>
  <c r="M173" i="16"/>
  <c r="M172" i="16"/>
  <c r="M156" i="16"/>
  <c r="M157" i="16"/>
  <c r="M158" i="16"/>
  <c r="M159" i="16"/>
  <c r="M160" i="16"/>
  <c r="M161" i="16"/>
  <c r="M162" i="16"/>
  <c r="M163" i="16"/>
  <c r="M164" i="16"/>
  <c r="M165" i="16"/>
  <c r="M166" i="16"/>
  <c r="M167" i="16"/>
  <c r="M168" i="16"/>
  <c r="M169" i="16"/>
  <c r="M170" i="16"/>
  <c r="M171" i="16"/>
  <c r="M155" i="16"/>
  <c r="H183" i="16"/>
  <c r="J183" i="16" s="1"/>
  <c r="H184" i="16"/>
  <c r="H185" i="16"/>
  <c r="H186" i="16"/>
  <c r="M186" i="16"/>
  <c r="M188" i="16"/>
  <c r="M189" i="16"/>
  <c r="M187" i="16"/>
  <c r="H191" i="16"/>
  <c r="H192" i="16"/>
  <c r="J192" i="16" s="1"/>
  <c r="H193" i="16"/>
  <c r="M193" i="16"/>
  <c r="M194" i="16"/>
  <c r="M199" i="16"/>
  <c r="M205" i="16"/>
  <c r="M211" i="16"/>
  <c r="M210" i="16"/>
  <c r="M207" i="16"/>
  <c r="M208" i="16"/>
  <c r="M209" i="16"/>
  <c r="M206" i="16"/>
  <c r="M201" i="16"/>
  <c r="M202" i="16"/>
  <c r="M203" i="16"/>
  <c r="M204" i="16"/>
  <c r="M200" i="16"/>
  <c r="M196" i="16"/>
  <c r="M197" i="16"/>
  <c r="M198" i="16"/>
  <c r="M195" i="16"/>
  <c r="H212" i="16"/>
  <c r="J212" i="16" s="1"/>
  <c r="H213" i="16"/>
  <c r="H214" i="16"/>
  <c r="M214" i="16"/>
  <c r="M216" i="16"/>
  <c r="H217" i="16"/>
  <c r="H218" i="16"/>
  <c r="H219" i="16"/>
  <c r="H220" i="16"/>
  <c r="H221" i="16"/>
  <c r="J221" i="16" s="1"/>
  <c r="M221" i="16"/>
  <c r="M222" i="16"/>
  <c r="M224" i="16"/>
  <c r="M225" i="16"/>
  <c r="M226" i="16"/>
  <c r="M227" i="16"/>
  <c r="M223" i="16"/>
  <c r="H228" i="16"/>
  <c r="J228" i="16" s="1"/>
  <c r="M228" i="16"/>
  <c r="M232" i="16"/>
  <c r="M233" i="16"/>
  <c r="M234" i="16"/>
  <c r="M231" i="16"/>
  <c r="M230" i="16"/>
  <c r="M229" i="16"/>
  <c r="H235" i="16"/>
  <c r="M235" i="16"/>
  <c r="M237" i="16"/>
  <c r="M238" i="16"/>
  <c r="M239" i="16"/>
  <c r="M240" i="16"/>
  <c r="M241" i="16"/>
  <c r="M236" i="16"/>
  <c r="H242" i="16"/>
  <c r="J242" i="16" s="1"/>
  <c r="M242" i="16"/>
  <c r="M243" i="16"/>
  <c r="M245" i="16"/>
  <c r="M246" i="16"/>
  <c r="M244" i="16"/>
  <c r="H247" i="16"/>
  <c r="M247" i="16"/>
  <c r="M249" i="16"/>
  <c r="M250" i="16"/>
  <c r="M251" i="16"/>
  <c r="M252" i="16"/>
  <c r="M253" i="16"/>
  <c r="M248" i="16"/>
  <c r="M256" i="16"/>
  <c r="M255" i="16"/>
  <c r="M259" i="16"/>
  <c r="M258" i="16" s="1"/>
  <c r="H258" i="16" s="1"/>
  <c r="M262" i="16"/>
  <c r="M272" i="16"/>
  <c r="M270" i="16" s="1"/>
  <c r="M269" i="16" s="1"/>
  <c r="H269" i="16" s="1"/>
  <c r="J269" i="16" s="1"/>
  <c r="M273" i="16"/>
  <c r="M274" i="16"/>
  <c r="M271" i="16"/>
  <c r="R274" i="16"/>
  <c r="R273" i="16"/>
  <c r="R272" i="16"/>
  <c r="R271" i="16"/>
  <c r="R262" i="16"/>
  <c r="S259" i="16"/>
  <c r="R256" i="16"/>
  <c r="S255" i="16"/>
  <c r="R253" i="16"/>
  <c r="R252" i="16"/>
  <c r="R251" i="16"/>
  <c r="R250" i="16"/>
  <c r="R249" i="16"/>
  <c r="R248" i="16"/>
  <c r="R246" i="16"/>
  <c r="R245" i="16"/>
  <c r="R244" i="16"/>
  <c r="R241" i="16"/>
  <c r="R240" i="16"/>
  <c r="R239" i="16"/>
  <c r="R238" i="16"/>
  <c r="R237" i="16"/>
  <c r="R236" i="16"/>
  <c r="R234" i="16"/>
  <c r="R233" i="16"/>
  <c r="R232" i="16"/>
  <c r="R231" i="16"/>
  <c r="R230" i="16"/>
  <c r="R229" i="16"/>
  <c r="R228" i="16"/>
  <c r="R227" i="16"/>
  <c r="R226" i="16"/>
  <c r="R225" i="16"/>
  <c r="R224" i="16"/>
  <c r="R223" i="16"/>
  <c r="R222" i="16"/>
  <c r="R221" i="16"/>
  <c r="R220" i="16"/>
  <c r="R219" i="16"/>
  <c r="R218" i="16"/>
  <c r="R217" i="16"/>
  <c r="R216" i="16"/>
  <c r="R211" i="16"/>
  <c r="R210" i="16"/>
  <c r="T209" i="16"/>
  <c r="T208" i="16"/>
  <c r="T207" i="16"/>
  <c r="T206" i="16"/>
  <c r="R204" i="16"/>
  <c r="R203" i="16"/>
  <c r="R202" i="16"/>
  <c r="R201" i="16"/>
  <c r="R200" i="16"/>
  <c r="R198" i="16"/>
  <c r="R197" i="16"/>
  <c r="R196" i="16"/>
  <c r="R195" i="16"/>
  <c r="R189" i="16"/>
  <c r="R188" i="16"/>
  <c r="R187" i="16"/>
  <c r="S182" i="16"/>
  <c r="R181" i="16"/>
  <c r="R180" i="16"/>
  <c r="S179" i="16"/>
  <c r="R178" i="16"/>
  <c r="R177" i="16"/>
  <c r="R176" i="16"/>
  <c r="R175" i="16"/>
  <c r="R174" i="16"/>
  <c r="R173" i="16"/>
  <c r="S172" i="16"/>
  <c r="R171" i="16"/>
  <c r="R170" i="16"/>
  <c r="R169" i="16"/>
  <c r="R168" i="16"/>
  <c r="R167" i="16"/>
  <c r="R166" i="16"/>
  <c r="R165" i="16"/>
  <c r="R164" i="16"/>
  <c r="R163" i="16"/>
  <c r="R162" i="16"/>
  <c r="R161" i="16"/>
  <c r="R160" i="16"/>
  <c r="R159" i="16"/>
  <c r="R158" i="16"/>
  <c r="R157" i="16"/>
  <c r="R156" i="16"/>
  <c r="R155" i="16"/>
  <c r="R149" i="16"/>
  <c r="R148" i="16"/>
  <c r="R145" i="16"/>
  <c r="R142" i="16"/>
  <c r="S141" i="16"/>
  <c r="R140" i="16"/>
  <c r="R139" i="16"/>
  <c r="S137" i="16"/>
  <c r="R133" i="16"/>
  <c r="S132" i="16"/>
  <c r="S131" i="16"/>
  <c r="S130" i="16"/>
  <c r="S129" i="16"/>
  <c r="R127" i="16"/>
  <c r="R125" i="16"/>
  <c r="R124" i="16"/>
  <c r="R123" i="16"/>
  <c r="R122" i="16"/>
  <c r="R120" i="16"/>
  <c r="R119" i="16"/>
  <c r="R117" i="16"/>
  <c r="R116" i="16"/>
  <c r="R115" i="16"/>
  <c r="R114" i="16"/>
  <c r="R113" i="16"/>
  <c r="R112" i="16"/>
  <c r="R111" i="16"/>
  <c r="R110" i="16"/>
  <c r="R109" i="16"/>
  <c r="S106" i="16"/>
  <c r="R104" i="16"/>
  <c r="R103" i="16"/>
  <c r="R102" i="16"/>
  <c r="R101" i="16"/>
  <c r="R98" i="16"/>
  <c r="R96" i="16"/>
  <c r="R95" i="16"/>
  <c r="R94" i="16"/>
  <c r="R93" i="16"/>
  <c r="R92" i="16"/>
  <c r="R91" i="16"/>
  <c r="R90" i="16"/>
  <c r="R89" i="16"/>
  <c r="R88" i="16"/>
  <c r="R87" i="16"/>
  <c r="R86" i="16"/>
  <c r="R85" i="16"/>
  <c r="R84" i="16"/>
  <c r="R82" i="16"/>
  <c r="R81" i="16"/>
  <c r="S80" i="16"/>
  <c r="R79" i="16"/>
  <c r="R78" i="16"/>
  <c r="R77" i="16"/>
  <c r="R76" i="16"/>
  <c r="R75" i="16"/>
  <c r="R74" i="16"/>
  <c r="R73" i="16"/>
  <c r="R68" i="16"/>
  <c r="S67" i="16"/>
  <c r="R64" i="16"/>
  <c r="R63" i="16"/>
  <c r="R62" i="16"/>
  <c r="R61" i="16"/>
  <c r="R58" i="16"/>
  <c r="T57" i="16"/>
  <c r="T56" i="16"/>
  <c r="T55" i="16"/>
  <c r="R53" i="16"/>
  <c r="R52" i="16"/>
  <c r="R51" i="16"/>
  <c r="R50" i="16"/>
  <c r="R48" i="16"/>
  <c r="R47" i="16"/>
  <c r="R46" i="16"/>
  <c r="R45" i="16"/>
  <c r="R44" i="16"/>
  <c r="O40" i="16"/>
  <c r="R40" i="16" s="1"/>
  <c r="R38" i="16"/>
  <c r="R37" i="16"/>
  <c r="R36" i="16"/>
  <c r="O35" i="16"/>
  <c r="O42" i="16" s="1"/>
  <c r="R42" i="16" s="1"/>
  <c r="O33" i="16"/>
  <c r="R33" i="16" s="1"/>
  <c r="O30" i="16"/>
  <c r="R30" i="16" s="1"/>
  <c r="T29" i="16"/>
  <c r="T28" i="16"/>
  <c r="T27" i="16"/>
  <c r="R25" i="16"/>
  <c r="R24" i="16"/>
  <c r="R23" i="16"/>
  <c r="R22" i="16"/>
  <c r="R17" i="16"/>
  <c r="R16" i="16"/>
  <c r="R15" i="16"/>
  <c r="O15" i="16"/>
  <c r="O20" i="16" s="1"/>
  <c r="R20" i="16" s="1"/>
  <c r="O14" i="16"/>
  <c r="O32" i="16" s="1"/>
  <c r="R32" i="16" s="1"/>
  <c r="M254" i="16"/>
  <c r="H254" i="16" s="1"/>
  <c r="J254" i="16" s="1"/>
  <c r="M261" i="16"/>
  <c r="H261" i="16" s="1"/>
  <c r="J265" i="16"/>
  <c r="J266" i="16"/>
  <c r="J267" i="16"/>
  <c r="J268" i="16"/>
  <c r="J264" i="16"/>
  <c r="J263" i="16"/>
  <c r="J247" i="16"/>
  <c r="J235" i="16"/>
  <c r="J218" i="16"/>
  <c r="J219" i="16"/>
  <c r="J220" i="16"/>
  <c r="J217" i="16"/>
  <c r="J213" i="16"/>
  <c r="J214" i="16"/>
  <c r="J191" i="16"/>
  <c r="J193" i="16"/>
  <c r="J190" i="16"/>
  <c r="J184" i="16"/>
  <c r="J185" i="16"/>
  <c r="J186" i="16"/>
  <c r="J151" i="16"/>
  <c r="J152" i="16"/>
  <c r="J150" i="16"/>
  <c r="J147" i="16"/>
  <c r="J146" i="16"/>
  <c r="J144" i="16"/>
  <c r="J134" i="16"/>
  <c r="J126" i="16"/>
  <c r="J99" i="16"/>
  <c r="J97" i="16"/>
  <c r="J71" i="16"/>
  <c r="J70" i="16"/>
  <c r="J69" i="16"/>
  <c r="J65" i="16"/>
  <c r="J8" i="16"/>
  <c r="J9" i="16"/>
  <c r="J10" i="16"/>
  <c r="J11" i="16"/>
  <c r="J5" i="16"/>
  <c r="J276" i="16"/>
  <c r="J277" i="16"/>
  <c r="J278" i="16"/>
  <c r="J279" i="16"/>
  <c r="J280" i="16"/>
  <c r="J281" i="16"/>
  <c r="J282" i="16"/>
  <c r="J283" i="16"/>
  <c r="J275" i="16"/>
  <c r="H283" i="16"/>
  <c r="H4" i="15"/>
  <c r="H5" i="15"/>
  <c r="H6" i="15"/>
  <c r="H7" i="15"/>
  <c r="H8" i="15"/>
  <c r="H9" i="15"/>
  <c r="H10" i="15"/>
  <c r="H11" i="15"/>
  <c r="M11" i="15"/>
  <c r="M12" i="15"/>
  <c r="M17" i="15"/>
  <c r="M22" i="15"/>
  <c r="H24" i="15"/>
  <c r="H25" i="15"/>
  <c r="H26" i="15"/>
  <c r="M26" i="15"/>
  <c r="H38" i="15"/>
  <c r="M38" i="15"/>
  <c r="M39" i="15"/>
  <c r="M41" i="15"/>
  <c r="M49" i="15"/>
  <c r="M53" i="15"/>
  <c r="H64" i="15"/>
  <c r="M64" i="15"/>
  <c r="M65" i="15"/>
  <c r="M69" i="15"/>
  <c r="M73" i="15"/>
  <c r="H79" i="15"/>
  <c r="M79" i="15"/>
  <c r="M80" i="15"/>
  <c r="H85" i="15"/>
  <c r="M85" i="15"/>
  <c r="H92" i="15"/>
  <c r="M92" i="15"/>
  <c r="H94" i="15"/>
  <c r="H95" i="15"/>
  <c r="M95" i="15"/>
  <c r="H98" i="15"/>
  <c r="H99" i="15"/>
  <c r="H100" i="15"/>
  <c r="H101" i="15"/>
  <c r="M101" i="15"/>
  <c r="M102" i="15"/>
  <c r="H105" i="15"/>
  <c r="H106" i="15"/>
  <c r="H107" i="15"/>
  <c r="M107" i="15"/>
  <c r="H109" i="15"/>
  <c r="H110" i="15"/>
  <c r="H111" i="15"/>
  <c r="H112" i="15"/>
  <c r="M112" i="15"/>
  <c r="H114" i="15"/>
  <c r="H115" i="15"/>
  <c r="H116" i="15"/>
  <c r="H117" i="15"/>
  <c r="H118" i="15"/>
  <c r="M118" i="15"/>
  <c r="M119" i="15"/>
  <c r="H124" i="15"/>
  <c r="H125" i="15"/>
  <c r="H126" i="15"/>
  <c r="M126" i="15"/>
  <c r="M128" i="15"/>
  <c r="H128" i="15" s="1"/>
  <c r="H130" i="15"/>
  <c r="M130" i="15"/>
  <c r="M131" i="15"/>
  <c r="H134" i="15"/>
  <c r="M134" i="15"/>
  <c r="H137" i="15"/>
  <c r="H138" i="15"/>
  <c r="M138" i="15"/>
  <c r="M139" i="15"/>
  <c r="H323" i="13" l="1"/>
  <c r="E15" i="9" s="1"/>
  <c r="K44" i="12"/>
  <c r="F44" i="12" s="1"/>
  <c r="D24" i="4" s="1"/>
  <c r="D18" i="21"/>
  <c r="H6" i="18"/>
  <c r="J7" i="18"/>
  <c r="H164" i="18"/>
  <c r="J165" i="18"/>
  <c r="J326" i="17"/>
  <c r="H159" i="13"/>
  <c r="H314" i="13"/>
  <c r="H350" i="17"/>
  <c r="J351" i="17"/>
  <c r="H140" i="13"/>
  <c r="J221" i="17"/>
  <c r="J276" i="17"/>
  <c r="H151" i="13"/>
  <c r="J307" i="17"/>
  <c r="H154" i="13"/>
  <c r="J233" i="17"/>
  <c r="H143" i="13"/>
  <c r="H137" i="13"/>
  <c r="J203" i="17"/>
  <c r="H340" i="17"/>
  <c r="H339" i="17" s="1"/>
  <c r="J328" i="17"/>
  <c r="H160" i="13"/>
  <c r="J313" i="17"/>
  <c r="H156" i="13"/>
  <c r="J217" i="17"/>
  <c r="H138" i="13"/>
  <c r="J341" i="17"/>
  <c r="J310" i="17"/>
  <c r="H155" i="13"/>
  <c r="J370" i="17"/>
  <c r="H322" i="13"/>
  <c r="J291" i="17"/>
  <c r="H153" i="13"/>
  <c r="H116" i="13"/>
  <c r="H115" i="13" s="1"/>
  <c r="H369" i="17"/>
  <c r="J289" i="17"/>
  <c r="H152" i="13"/>
  <c r="M245" i="17"/>
  <c r="H245" i="17" s="1"/>
  <c r="H149" i="13" s="1"/>
  <c r="J219" i="17"/>
  <c r="H139" i="13"/>
  <c r="H112" i="17"/>
  <c r="J360" i="17"/>
  <c r="H359" i="17"/>
  <c r="H317" i="13" s="1"/>
  <c r="H316" i="13" s="1"/>
  <c r="H315" i="13" s="1"/>
  <c r="K42" i="12" s="1"/>
  <c r="F42" i="12" s="1"/>
  <c r="J331" i="17"/>
  <c r="H330" i="17"/>
  <c r="H189" i="17"/>
  <c r="H134" i="13" s="1"/>
  <c r="H133" i="13" s="1"/>
  <c r="J201" i="17"/>
  <c r="H235" i="17"/>
  <c r="J236" i="17"/>
  <c r="H325" i="17"/>
  <c r="H158" i="13" s="1"/>
  <c r="H349" i="17"/>
  <c r="H275" i="17"/>
  <c r="H150" i="13" s="1"/>
  <c r="H232" i="17"/>
  <c r="H142" i="13" s="1"/>
  <c r="J7" i="16"/>
  <c r="H6" i="16"/>
  <c r="J6" i="16" s="1"/>
  <c r="J258" i="16"/>
  <c r="H257" i="16"/>
  <c r="J257" i="16" s="1"/>
  <c r="J261" i="16"/>
  <c r="H260" i="16"/>
  <c r="J260" i="16" s="1"/>
  <c r="O59" i="16"/>
  <c r="R59" i="16" s="1"/>
  <c r="O19" i="16"/>
  <c r="R19" i="16" s="1"/>
  <c r="R35" i="16"/>
  <c r="O41" i="16"/>
  <c r="R41" i="16" s="1"/>
  <c r="R14" i="16"/>
  <c r="H141" i="15"/>
  <c r="H142" i="15"/>
  <c r="H143" i="15"/>
  <c r="M143" i="15"/>
  <c r="H145" i="15"/>
  <c r="H146" i="15"/>
  <c r="H147" i="15"/>
  <c r="H148" i="15"/>
  <c r="J148" i="15" s="1"/>
  <c r="M148" i="15"/>
  <c r="H150" i="15"/>
  <c r="H151" i="15"/>
  <c r="H152" i="15"/>
  <c r="H153" i="15"/>
  <c r="H154" i="15"/>
  <c r="M154" i="15"/>
  <c r="M155" i="15"/>
  <c r="M160" i="15"/>
  <c r="H165" i="15"/>
  <c r="J165" i="15" s="1"/>
  <c r="H166" i="15"/>
  <c r="J166" i="15" s="1"/>
  <c r="H167" i="15"/>
  <c r="M167" i="15"/>
  <c r="H176" i="15"/>
  <c r="M176" i="15"/>
  <c r="H178" i="15"/>
  <c r="M178" i="15"/>
  <c r="H185" i="15"/>
  <c r="M185" i="15"/>
  <c r="H192" i="15"/>
  <c r="M192" i="15"/>
  <c r="M194" i="15"/>
  <c r="H197" i="15"/>
  <c r="M197" i="15"/>
  <c r="H202" i="15"/>
  <c r="M202" i="15"/>
  <c r="H204" i="15"/>
  <c r="H205" i="15"/>
  <c r="M205" i="15"/>
  <c r="H208" i="15"/>
  <c r="H209" i="15"/>
  <c r="M209" i="15"/>
  <c r="H211" i="15"/>
  <c r="H212" i="15"/>
  <c r="H213" i="15"/>
  <c r="H214" i="15"/>
  <c r="M214" i="15"/>
  <c r="H219" i="15"/>
  <c r="H220" i="15"/>
  <c r="H221" i="15"/>
  <c r="H222" i="15"/>
  <c r="H223" i="15"/>
  <c r="M223" i="15"/>
  <c r="M224" i="15"/>
  <c r="M231" i="15"/>
  <c r="M236" i="15"/>
  <c r="H241" i="15"/>
  <c r="J241" i="15" s="1"/>
  <c r="H242" i="15"/>
  <c r="H243" i="15"/>
  <c r="M243" i="15"/>
  <c r="H255" i="15"/>
  <c r="M255" i="15"/>
  <c r="H257" i="15"/>
  <c r="M257" i="15"/>
  <c r="H265" i="15"/>
  <c r="M265" i="15"/>
  <c r="H269" i="15"/>
  <c r="M269" i="15"/>
  <c r="M271" i="15"/>
  <c r="M321" i="14"/>
  <c r="M330" i="14"/>
  <c r="H274" i="15"/>
  <c r="J274" i="15" s="1"/>
  <c r="M274" i="15"/>
  <c r="H280" i="15"/>
  <c r="M280" i="15"/>
  <c r="H282" i="15"/>
  <c r="H283" i="15"/>
  <c r="J283" i="15" s="1"/>
  <c r="M283" i="15"/>
  <c r="H286" i="15"/>
  <c r="J286" i="15" s="1"/>
  <c r="H287" i="15"/>
  <c r="J287" i="15" s="1"/>
  <c r="H289" i="15"/>
  <c r="H290" i="15"/>
  <c r="M290" i="15"/>
  <c r="H292" i="15"/>
  <c r="H293" i="15"/>
  <c r="H294" i="15"/>
  <c r="J294" i="15" s="1"/>
  <c r="M294" i="15"/>
  <c r="H296" i="15"/>
  <c r="H297" i="15"/>
  <c r="H298" i="15"/>
  <c r="H299" i="15"/>
  <c r="M299" i="15"/>
  <c r="H304" i="15"/>
  <c r="H305" i="15"/>
  <c r="H306" i="15"/>
  <c r="H307" i="15"/>
  <c r="H308" i="15"/>
  <c r="H309" i="15"/>
  <c r="J309" i="15" s="1"/>
  <c r="H310" i="15"/>
  <c r="M310" i="15"/>
  <c r="H312" i="15"/>
  <c r="J312" i="15" s="1"/>
  <c r="H313" i="15"/>
  <c r="J313" i="15" s="1"/>
  <c r="H314" i="15"/>
  <c r="J314" i="15" s="1"/>
  <c r="H316" i="15"/>
  <c r="H315" i="15" s="1"/>
  <c r="J315" i="15" s="1"/>
  <c r="M316" i="15"/>
  <c r="H319" i="15"/>
  <c r="H320" i="15"/>
  <c r="H321" i="15"/>
  <c r="J321" i="15" s="1"/>
  <c r="H322" i="15"/>
  <c r="J322" i="15" s="1"/>
  <c r="H323" i="15"/>
  <c r="M323" i="15"/>
  <c r="J320" i="15"/>
  <c r="J323" i="15"/>
  <c r="J319" i="15"/>
  <c r="J305" i="15"/>
  <c r="J306" i="15"/>
  <c r="J307" i="15"/>
  <c r="J308" i="15"/>
  <c r="J310" i="15"/>
  <c r="J304" i="15"/>
  <c r="J297" i="15"/>
  <c r="J298" i="15"/>
  <c r="J299" i="15"/>
  <c r="J296" i="15"/>
  <c r="J293" i="15"/>
  <c r="J292" i="15"/>
  <c r="J290" i="15"/>
  <c r="J289" i="15"/>
  <c r="J282" i="15"/>
  <c r="J280" i="15"/>
  <c r="J269" i="15"/>
  <c r="J265" i="15"/>
  <c r="J257" i="15"/>
  <c r="J255" i="15"/>
  <c r="J242" i="15"/>
  <c r="J243" i="15"/>
  <c r="J220" i="15"/>
  <c r="J221" i="15"/>
  <c r="J222" i="15"/>
  <c r="J223" i="15"/>
  <c r="J219" i="15"/>
  <c r="J214" i="15"/>
  <c r="J212" i="15"/>
  <c r="J213" i="15"/>
  <c r="J211" i="15"/>
  <c r="J209" i="15"/>
  <c r="J208" i="15"/>
  <c r="J205" i="15"/>
  <c r="J204" i="15"/>
  <c r="J202" i="15"/>
  <c r="J197" i="15"/>
  <c r="J192" i="15"/>
  <c r="J185" i="15"/>
  <c r="J178" i="15"/>
  <c r="J176" i="15"/>
  <c r="J167" i="15"/>
  <c r="J151" i="15"/>
  <c r="J152" i="15"/>
  <c r="J153" i="15"/>
  <c r="J154" i="15"/>
  <c r="J150" i="15"/>
  <c r="J146" i="15"/>
  <c r="J147" i="15"/>
  <c r="J145" i="15"/>
  <c r="J142" i="15"/>
  <c r="J143" i="15"/>
  <c r="J141" i="15"/>
  <c r="J138" i="15"/>
  <c r="J137" i="15"/>
  <c r="J134" i="15"/>
  <c r="J130" i="15"/>
  <c r="J128" i="15"/>
  <c r="J125" i="15"/>
  <c r="J126" i="15"/>
  <c r="J124" i="15"/>
  <c r="J115" i="15"/>
  <c r="J116" i="15"/>
  <c r="J117" i="15"/>
  <c r="J118" i="15"/>
  <c r="J114" i="15"/>
  <c r="J110" i="15"/>
  <c r="J111" i="15"/>
  <c r="J112" i="15"/>
  <c r="J109" i="15"/>
  <c r="J107" i="15"/>
  <c r="J106" i="15"/>
  <c r="J105" i="15"/>
  <c r="J101" i="15"/>
  <c r="J100" i="15"/>
  <c r="J99" i="15"/>
  <c r="J98" i="15"/>
  <c r="J95" i="15"/>
  <c r="J94" i="15"/>
  <c r="J92" i="15"/>
  <c r="J85" i="15"/>
  <c r="J79" i="15"/>
  <c r="J64" i="15"/>
  <c r="J38" i="15"/>
  <c r="J25" i="15"/>
  <c r="J26" i="15"/>
  <c r="J24" i="15"/>
  <c r="J7" i="15"/>
  <c r="J8" i="15"/>
  <c r="J9" i="15"/>
  <c r="J10" i="15"/>
  <c r="J11" i="15"/>
  <c r="J6" i="15"/>
  <c r="J5" i="15"/>
  <c r="J4" i="15"/>
  <c r="M12" i="14"/>
  <c r="M16" i="14"/>
  <c r="M23" i="14"/>
  <c r="M30" i="14"/>
  <c r="M39" i="14"/>
  <c r="M46" i="14"/>
  <c r="M51" i="14"/>
  <c r="M54" i="14"/>
  <c r="M57" i="14"/>
  <c r="M62" i="14"/>
  <c r="M72" i="14"/>
  <c r="M75" i="14"/>
  <c r="M84" i="14"/>
  <c r="M88" i="14"/>
  <c r="M102" i="14"/>
  <c r="M129" i="14"/>
  <c r="M140" i="14"/>
  <c r="M143" i="14"/>
  <c r="M148" i="14"/>
  <c r="M161" i="14"/>
  <c r="M165" i="14"/>
  <c r="M169" i="14"/>
  <c r="M172" i="14"/>
  <c r="M175" i="14"/>
  <c r="M177" i="14"/>
  <c r="M181" i="14"/>
  <c r="M188" i="14"/>
  <c r="M192" i="14"/>
  <c r="M195" i="14"/>
  <c r="M197" i="14"/>
  <c r="H197" i="14" s="1"/>
  <c r="M207" i="14"/>
  <c r="H207" i="14" s="1"/>
  <c r="M211" i="14"/>
  <c r="M214" i="14"/>
  <c r="H217" i="14"/>
  <c r="M226" i="14"/>
  <c r="M243" i="14"/>
  <c r="H243" i="14" s="1"/>
  <c r="M245" i="14"/>
  <c r="U273" i="14"/>
  <c r="M273" i="14" s="1"/>
  <c r="U272" i="14"/>
  <c r="M272" i="14" s="1"/>
  <c r="U271" i="14"/>
  <c r="M271" i="14" s="1"/>
  <c r="U270" i="14"/>
  <c r="M270" i="14" s="1"/>
  <c r="U269" i="14"/>
  <c r="M269" i="14" s="1"/>
  <c r="U268" i="14"/>
  <c r="M268" i="14" s="1"/>
  <c r="U266" i="14"/>
  <c r="M266" i="14" s="1"/>
  <c r="U265" i="14"/>
  <c r="M265" i="14" s="1"/>
  <c r="U264" i="14"/>
  <c r="M264" i="14" s="1"/>
  <c r="U263" i="14"/>
  <c r="M263" i="14" s="1"/>
  <c r="U262" i="14"/>
  <c r="M262" i="14" s="1"/>
  <c r="U261" i="14"/>
  <c r="M261" i="14" s="1"/>
  <c r="U259" i="14"/>
  <c r="M259" i="14" s="1"/>
  <c r="U258" i="14"/>
  <c r="M258" i="14" s="1"/>
  <c r="U257" i="14"/>
  <c r="M257" i="14" s="1"/>
  <c r="U256" i="14"/>
  <c r="M256" i="14" s="1"/>
  <c r="U255" i="14"/>
  <c r="M255" i="14" s="1"/>
  <c r="U253" i="14"/>
  <c r="M253" i="14" s="1"/>
  <c r="H163" i="18" l="1"/>
  <c r="J164" i="18"/>
  <c r="H5" i="18"/>
  <c r="J6" i="18"/>
  <c r="F18" i="21"/>
  <c r="D15" i="21"/>
  <c r="F15" i="21" s="1"/>
  <c r="D20" i="6"/>
  <c r="G15" i="9"/>
  <c r="J235" i="17"/>
  <c r="H144" i="13"/>
  <c r="H244" i="17"/>
  <c r="H148" i="13" s="1"/>
  <c r="H147" i="13" s="1"/>
  <c r="J350" i="17"/>
  <c r="H313" i="13"/>
  <c r="H312" i="13" s="1"/>
  <c r="H311" i="13" s="1"/>
  <c r="K41" i="12" s="1"/>
  <c r="F41" i="12" s="1"/>
  <c r="J245" i="17"/>
  <c r="H111" i="17"/>
  <c r="J112" i="17"/>
  <c r="H321" i="13"/>
  <c r="H320" i="13" s="1"/>
  <c r="H319" i="13" s="1"/>
  <c r="K43" i="12" s="1"/>
  <c r="F43" i="12" s="1"/>
  <c r="H43" i="12" s="1"/>
  <c r="H368" i="17"/>
  <c r="J369" i="17"/>
  <c r="J340" i="17"/>
  <c r="H309" i="13"/>
  <c r="H308" i="13" s="1"/>
  <c r="H307" i="13" s="1"/>
  <c r="K18" i="12"/>
  <c r="F18" i="12" s="1"/>
  <c r="H141" i="13"/>
  <c r="H132" i="13" s="1"/>
  <c r="J330" i="17"/>
  <c r="H161" i="13"/>
  <c r="H157" i="13" s="1"/>
  <c r="J325" i="17"/>
  <c r="H324" i="17"/>
  <c r="H188" i="17"/>
  <c r="J189" i="17"/>
  <c r="H231" i="17"/>
  <c r="J232" i="17"/>
  <c r="J275" i="17"/>
  <c r="H274" i="17"/>
  <c r="J274" i="17" s="1"/>
  <c r="J339" i="17"/>
  <c r="H338" i="17"/>
  <c r="J359" i="17"/>
  <c r="H358" i="17"/>
  <c r="J349" i="17"/>
  <c r="H348" i="17"/>
  <c r="J316" i="15"/>
  <c r="H75" i="14"/>
  <c r="H216" i="14"/>
  <c r="M221" i="14"/>
  <c r="H221" i="14" s="1"/>
  <c r="H220" i="14" s="1"/>
  <c r="H214" i="14"/>
  <c r="H72" i="14"/>
  <c r="M168" i="14"/>
  <c r="M254" i="14"/>
  <c r="M252" i="14"/>
  <c r="M260" i="14"/>
  <c r="M267" i="14"/>
  <c r="H245" i="14"/>
  <c r="M136" i="14"/>
  <c r="M11" i="14"/>
  <c r="H211" i="14"/>
  <c r="M153" i="14"/>
  <c r="M79" i="14"/>
  <c r="M50" i="14"/>
  <c r="M97" i="14"/>
  <c r="H243" i="17" l="1"/>
  <c r="J244" i="17"/>
  <c r="J5" i="18"/>
  <c r="H162" i="18"/>
  <c r="J162" i="18" s="1"/>
  <c r="J163" i="18"/>
  <c r="D12" i="21"/>
  <c r="F12" i="21" s="1"/>
  <c r="J368" i="17"/>
  <c r="H367" i="17"/>
  <c r="H146" i="13"/>
  <c r="D21" i="4"/>
  <c r="H306" i="13"/>
  <c r="K40" i="12"/>
  <c r="F40" i="12" s="1"/>
  <c r="D11" i="21"/>
  <c r="J111" i="17"/>
  <c r="D13" i="21"/>
  <c r="F13" i="21" s="1"/>
  <c r="K19" i="12"/>
  <c r="F19" i="12" s="1"/>
  <c r="D22" i="4" s="1"/>
  <c r="J243" i="17"/>
  <c r="H242" i="17"/>
  <c r="H347" i="17"/>
  <c r="J347" i="17" s="1"/>
  <c r="J348" i="17"/>
  <c r="H187" i="17"/>
  <c r="J188" i="17"/>
  <c r="J358" i="17"/>
  <c r="H357" i="17"/>
  <c r="H323" i="17"/>
  <c r="J323" i="17" s="1"/>
  <c r="J324" i="17"/>
  <c r="H337" i="17"/>
  <c r="J338" i="17"/>
  <c r="H230" i="17"/>
  <c r="J230" i="17" s="1"/>
  <c r="J231" i="17"/>
  <c r="H168" i="14"/>
  <c r="H210" i="14"/>
  <c r="H242" i="14"/>
  <c r="H97" i="14"/>
  <c r="H260" i="14"/>
  <c r="H252" i="14"/>
  <c r="H79" i="14"/>
  <c r="H153" i="14"/>
  <c r="H11" i="14"/>
  <c r="H136" i="14"/>
  <c r="H267" i="14"/>
  <c r="H254" i="14"/>
  <c r="H4" i="18" l="1"/>
  <c r="J4" i="18" s="1"/>
  <c r="D14" i="21"/>
  <c r="F14" i="21" s="1"/>
  <c r="K20" i="12"/>
  <c r="F20" i="12" s="1"/>
  <c r="D23" i="4" s="1"/>
  <c r="H89" i="13"/>
  <c r="F11" i="21"/>
  <c r="D10" i="21"/>
  <c r="H366" i="17"/>
  <c r="J366" i="17" s="1"/>
  <c r="J367" i="17"/>
  <c r="H292" i="13"/>
  <c r="H291" i="13" s="1"/>
  <c r="E14" i="9"/>
  <c r="F32" i="12"/>
  <c r="F31" i="12" s="1"/>
  <c r="D20" i="4"/>
  <c r="J337" i="17"/>
  <c r="J242" i="17"/>
  <c r="H241" i="17"/>
  <c r="J241" i="17" s="1"/>
  <c r="H186" i="17"/>
  <c r="J187" i="17"/>
  <c r="H356" i="17"/>
  <c r="J356" i="17" s="1"/>
  <c r="J357" i="17"/>
  <c r="H10" i="14"/>
  <c r="H251" i="14"/>
  <c r="F10" i="21" l="1"/>
  <c r="D4" i="21"/>
  <c r="C19" i="11"/>
  <c r="F30" i="12"/>
  <c r="F29" i="12" s="1"/>
  <c r="F28" i="12" s="1"/>
  <c r="J186" i="17"/>
  <c r="H6" i="17"/>
  <c r="C14" i="9"/>
  <c r="H7" i="13"/>
  <c r="H6" i="13" s="1"/>
  <c r="H5" i="13" s="1"/>
  <c r="E12" i="9"/>
  <c r="D19" i="6"/>
  <c r="D17" i="6" s="1"/>
  <c r="D16" i="6" s="1"/>
  <c r="F10" i="12"/>
  <c r="H336" i="17"/>
  <c r="H9" i="14"/>
  <c r="H5" i="17" l="1"/>
  <c r="J6" i="17"/>
  <c r="F9" i="12"/>
  <c r="C9" i="10"/>
  <c r="C6" i="10" s="1"/>
  <c r="F9" i="10"/>
  <c r="F6" i="10" s="1"/>
  <c r="F5" i="10" s="1"/>
  <c r="D3" i="21"/>
  <c r="F3" i="21" s="1"/>
  <c r="F4" i="21"/>
  <c r="F10" i="11"/>
  <c r="C17" i="11"/>
  <c r="G14" i="9"/>
  <c r="G12" i="9" s="1"/>
  <c r="D12" i="6"/>
  <c r="D10" i="6" s="1"/>
  <c r="D9" i="6" s="1"/>
  <c r="D8" i="6" s="1"/>
  <c r="C12" i="9"/>
  <c r="J336" i="17"/>
  <c r="H335" i="17"/>
  <c r="J335" i="17" s="1"/>
  <c r="C5" i="11" l="1"/>
  <c r="B23" i="6"/>
  <c r="B17" i="6" s="1"/>
  <c r="B16" i="6" s="1"/>
  <c r="C18" i="20"/>
  <c r="E10" i="9"/>
  <c r="D33" i="6"/>
  <c r="C33" i="6"/>
  <c r="C7" i="9"/>
  <c r="C5" i="10"/>
  <c r="C9" i="20"/>
  <c r="F8" i="12"/>
  <c r="F14" i="11"/>
  <c r="F5" i="11"/>
  <c r="H4" i="17"/>
  <c r="J4" i="17" s="1"/>
  <c r="J5" i="17"/>
  <c r="M275" i="14"/>
  <c r="M278" i="14"/>
  <c r="H282" i="14"/>
  <c r="M294" i="14"/>
  <c r="M298" i="14"/>
  <c r="M302" i="14"/>
  <c r="M304" i="14"/>
  <c r="M311" i="14"/>
  <c r="M315" i="14"/>
  <c r="M547" i="14"/>
  <c r="M551" i="14"/>
  <c r="M553" i="14"/>
  <c r="T563" i="14"/>
  <c r="M563" i="14" s="1"/>
  <c r="S553" i="14"/>
  <c r="S551" i="14"/>
  <c r="T546" i="14"/>
  <c r="M546" i="14" s="1"/>
  <c r="T545" i="14"/>
  <c r="T544" i="14"/>
  <c r="T542" i="14"/>
  <c r="M542" i="14" s="1"/>
  <c r="T541" i="14"/>
  <c r="T540" i="14"/>
  <c r="T537" i="14"/>
  <c r="M537" i="14" s="1"/>
  <c r="T535" i="14"/>
  <c r="M535" i="14" s="1"/>
  <c r="T533" i="14"/>
  <c r="M533" i="14" s="1"/>
  <c r="T531" i="14"/>
  <c r="M531" i="14" s="1"/>
  <c r="T527" i="14"/>
  <c r="M527" i="14" s="1"/>
  <c r="T525" i="14"/>
  <c r="M525" i="14" s="1"/>
  <c r="T524" i="14"/>
  <c r="M524" i="14" s="1"/>
  <c r="T523" i="14"/>
  <c r="M523" i="14" s="1"/>
  <c r="T521" i="14"/>
  <c r="M521" i="14" s="1"/>
  <c r="T520" i="14"/>
  <c r="M520" i="14" s="1"/>
  <c r="T519" i="14"/>
  <c r="M519" i="14" s="1"/>
  <c r="T518" i="14"/>
  <c r="M518" i="14" s="1"/>
  <c r="T517" i="14"/>
  <c r="M517" i="14" s="1"/>
  <c r="T515" i="14"/>
  <c r="M515" i="14" s="1"/>
  <c r="T514" i="14"/>
  <c r="M514" i="14" s="1"/>
  <c r="T513" i="14"/>
  <c r="M513" i="14" s="1"/>
  <c r="T512" i="14"/>
  <c r="M512" i="14" s="1"/>
  <c r="T511" i="14"/>
  <c r="M511" i="14" s="1"/>
  <c r="T510" i="14"/>
  <c r="M510" i="14" s="1"/>
  <c r="T508" i="14"/>
  <c r="M508" i="14" s="1"/>
  <c r="T506" i="14"/>
  <c r="M506" i="14" s="1"/>
  <c r="T504" i="14"/>
  <c r="M504" i="14" s="1"/>
  <c r="T477" i="14"/>
  <c r="M477" i="14" s="1"/>
  <c r="T476" i="14"/>
  <c r="M476" i="14" s="1"/>
  <c r="T475" i="14"/>
  <c r="M475" i="14" s="1"/>
  <c r="T473" i="14"/>
  <c r="M473" i="14" s="1"/>
  <c r="T471" i="14"/>
  <c r="M471" i="14" s="1"/>
  <c r="T469" i="14"/>
  <c r="M469" i="14" s="1"/>
  <c r="T462" i="14"/>
  <c r="M462" i="14" s="1"/>
  <c r="T461" i="14"/>
  <c r="M461" i="14" s="1"/>
  <c r="T460" i="14"/>
  <c r="M460" i="14" s="1"/>
  <c r="T459" i="14"/>
  <c r="M459" i="14" s="1"/>
  <c r="T458" i="14"/>
  <c r="M458" i="14" s="1"/>
  <c r="T457" i="14"/>
  <c r="M457" i="14" s="1"/>
  <c r="T455" i="14"/>
  <c r="M455" i="14" s="1"/>
  <c r="T454" i="14"/>
  <c r="M454" i="14" s="1"/>
  <c r="T453" i="14"/>
  <c r="M453" i="14" s="1"/>
  <c r="T452" i="14"/>
  <c r="M452" i="14" s="1"/>
  <c r="T451" i="14"/>
  <c r="M451" i="14" s="1"/>
  <c r="T449" i="14"/>
  <c r="M449" i="14" s="1"/>
  <c r="T448" i="14"/>
  <c r="M448" i="14" s="1"/>
  <c r="T447" i="14"/>
  <c r="M447" i="14" s="1"/>
  <c r="T446" i="14"/>
  <c r="M446" i="14" s="1"/>
  <c r="T444" i="14"/>
  <c r="M444" i="14" s="1"/>
  <c r="T443" i="14"/>
  <c r="M443" i="14" s="1"/>
  <c r="T442" i="14"/>
  <c r="M442" i="14" s="1"/>
  <c r="T430" i="14"/>
  <c r="M430" i="14" s="1"/>
  <c r="T429" i="14"/>
  <c r="M429" i="14" s="1"/>
  <c r="T428" i="14"/>
  <c r="M428" i="14" s="1"/>
  <c r="T427" i="14"/>
  <c r="M427" i="14" s="1"/>
  <c r="T425" i="14"/>
  <c r="M425" i="14" s="1"/>
  <c r="T424" i="14"/>
  <c r="M424" i="14" s="1"/>
  <c r="T423" i="14"/>
  <c r="M423" i="14" s="1"/>
  <c r="T422" i="14"/>
  <c r="M422" i="14" s="1"/>
  <c r="T404" i="14"/>
  <c r="M404" i="14" s="1"/>
  <c r="T402" i="14"/>
  <c r="M402" i="14" s="1"/>
  <c r="T400" i="14"/>
  <c r="M400" i="14" s="1"/>
  <c r="T399" i="14"/>
  <c r="M399" i="14" s="1"/>
  <c r="T397" i="14"/>
  <c r="M397" i="14" s="1"/>
  <c r="T396" i="14"/>
  <c r="M396" i="14" s="1"/>
  <c r="N394" i="14"/>
  <c r="T394" i="14" s="1"/>
  <c r="M394" i="14" s="1"/>
  <c r="T388" i="14"/>
  <c r="M388" i="14" s="1"/>
  <c r="T387" i="14"/>
  <c r="M387" i="14" s="1"/>
  <c r="T386" i="14"/>
  <c r="M386" i="14" s="1"/>
  <c r="T385" i="14"/>
  <c r="M385" i="14" s="1"/>
  <c r="T384" i="14"/>
  <c r="M384" i="14" s="1"/>
  <c r="T383" i="14"/>
  <c r="M383" i="14" s="1"/>
  <c r="T381" i="14"/>
  <c r="M381" i="14" s="1"/>
  <c r="T380" i="14"/>
  <c r="M380" i="14" s="1"/>
  <c r="T379" i="14"/>
  <c r="M379" i="14" s="1"/>
  <c r="T378" i="14"/>
  <c r="M378" i="14" s="1"/>
  <c r="T377" i="14"/>
  <c r="M377" i="14" s="1"/>
  <c r="T375" i="14"/>
  <c r="M375" i="14" s="1"/>
  <c r="T374" i="14"/>
  <c r="M374" i="14" s="1"/>
  <c r="T373" i="14"/>
  <c r="M373" i="14" s="1"/>
  <c r="T371" i="14"/>
  <c r="M371" i="14" s="1"/>
  <c r="T369" i="14"/>
  <c r="M369" i="14" s="1"/>
  <c r="T368" i="14"/>
  <c r="M368" i="14" s="1"/>
  <c r="T367" i="14"/>
  <c r="M367" i="14" s="1"/>
  <c r="T357" i="14"/>
  <c r="M357" i="14" s="1"/>
  <c r="T356" i="14"/>
  <c r="M356" i="14" s="1"/>
  <c r="T355" i="14"/>
  <c r="M355" i="14" s="1"/>
  <c r="T353" i="14"/>
  <c r="M353" i="14" s="1"/>
  <c r="T352" i="14"/>
  <c r="M352" i="14" s="1"/>
  <c r="T351" i="14"/>
  <c r="M351" i="14" s="1"/>
  <c r="N345" i="14"/>
  <c r="N407" i="14" s="1"/>
  <c r="T407" i="14" s="1"/>
  <c r="M407" i="14" s="1"/>
  <c r="N344" i="14"/>
  <c r="T344" i="14" s="1"/>
  <c r="M344" i="14" s="1"/>
  <c r="T343" i="14"/>
  <c r="M343" i="14" s="1"/>
  <c r="Q339" i="14"/>
  <c r="N420" i="14" s="1"/>
  <c r="H566" i="14"/>
  <c r="J567" i="14"/>
  <c r="J267" i="14"/>
  <c r="J260" i="14"/>
  <c r="J254" i="14"/>
  <c r="J252" i="14"/>
  <c r="J251" i="14"/>
  <c r="J245" i="14"/>
  <c r="J243" i="14"/>
  <c r="J242" i="14"/>
  <c r="J221" i="14"/>
  <c r="J220" i="14"/>
  <c r="J217" i="14"/>
  <c r="J216" i="14"/>
  <c r="J214" i="14"/>
  <c r="J211" i="14"/>
  <c r="J210" i="14"/>
  <c r="J207" i="14"/>
  <c r="J197" i="14"/>
  <c r="J168" i="14"/>
  <c r="J153" i="14"/>
  <c r="J136" i="14"/>
  <c r="J97" i="14"/>
  <c r="J79" i="14"/>
  <c r="J75" i="14"/>
  <c r="J72" i="14"/>
  <c r="J9" i="14"/>
  <c r="J10" i="14"/>
  <c r="J11" i="14"/>
  <c r="J353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122" i="13"/>
  <c r="J123" i="13"/>
  <c r="J124" i="13"/>
  <c r="J125" i="13"/>
  <c r="J126" i="13"/>
  <c r="J127" i="13"/>
  <c r="J128" i="13"/>
  <c r="J129" i="13"/>
  <c r="J130" i="13"/>
  <c r="J131" i="13"/>
  <c r="J132" i="13"/>
  <c r="J133" i="13"/>
  <c r="J134" i="13"/>
  <c r="J135" i="13"/>
  <c r="J136" i="13"/>
  <c r="J137" i="13"/>
  <c r="J138" i="13"/>
  <c r="J139" i="13"/>
  <c r="J140" i="13"/>
  <c r="J141" i="13"/>
  <c r="J142" i="13"/>
  <c r="J143" i="13"/>
  <c r="J144" i="13"/>
  <c r="J145" i="13"/>
  <c r="J146" i="13"/>
  <c r="J147" i="13"/>
  <c r="J148" i="13"/>
  <c r="J149" i="13"/>
  <c r="J150" i="13"/>
  <c r="J151" i="13"/>
  <c r="J152" i="13"/>
  <c r="J153" i="13"/>
  <c r="J154" i="13"/>
  <c r="J155" i="13"/>
  <c r="J156" i="13"/>
  <c r="J157" i="13"/>
  <c r="J158" i="13"/>
  <c r="J159" i="13"/>
  <c r="J160" i="13"/>
  <c r="J161" i="13"/>
  <c r="J162" i="13"/>
  <c r="J163" i="13"/>
  <c r="J164" i="13"/>
  <c r="J165" i="13"/>
  <c r="J166" i="13"/>
  <c r="J167" i="13"/>
  <c r="J168" i="13"/>
  <c r="J169" i="13"/>
  <c r="J170" i="13"/>
  <c r="J171" i="13"/>
  <c r="J172" i="13"/>
  <c r="J173" i="13"/>
  <c r="J174" i="13"/>
  <c r="J175" i="13"/>
  <c r="J176" i="13"/>
  <c r="J177" i="13"/>
  <c r="J178" i="13"/>
  <c r="J179" i="13"/>
  <c r="J180" i="13"/>
  <c r="J181" i="13"/>
  <c r="J182" i="13"/>
  <c r="J183" i="13"/>
  <c r="J184" i="13"/>
  <c r="J185" i="13"/>
  <c r="J186" i="13"/>
  <c r="J187" i="13"/>
  <c r="J188" i="13"/>
  <c r="J189" i="13"/>
  <c r="J190" i="13"/>
  <c r="J191" i="13"/>
  <c r="J192" i="13"/>
  <c r="J193" i="13"/>
  <c r="J194" i="13"/>
  <c r="J195" i="13"/>
  <c r="J196" i="13"/>
  <c r="J197" i="13"/>
  <c r="J198" i="13"/>
  <c r="J199" i="13"/>
  <c r="J200" i="13"/>
  <c r="J201" i="13"/>
  <c r="J202" i="13"/>
  <c r="J203" i="13"/>
  <c r="J204" i="13"/>
  <c r="J205" i="13"/>
  <c r="J206" i="13"/>
  <c r="J207" i="13"/>
  <c r="J208" i="13"/>
  <c r="J209" i="13"/>
  <c r="J210" i="13"/>
  <c r="J211" i="13"/>
  <c r="J212" i="13"/>
  <c r="J213" i="13"/>
  <c r="J214" i="13"/>
  <c r="J215" i="13"/>
  <c r="J216" i="13"/>
  <c r="J217" i="13"/>
  <c r="J218" i="13"/>
  <c r="J219" i="13"/>
  <c r="J220" i="13"/>
  <c r="J221" i="13"/>
  <c r="J222" i="13"/>
  <c r="J223" i="13"/>
  <c r="J224" i="13"/>
  <c r="J225" i="13"/>
  <c r="J226" i="13"/>
  <c r="J227" i="13"/>
  <c r="J228" i="13"/>
  <c r="J229" i="13"/>
  <c r="J230" i="13"/>
  <c r="J231" i="13"/>
  <c r="J232" i="13"/>
  <c r="J233" i="13"/>
  <c r="J234" i="13"/>
  <c r="J235" i="13"/>
  <c r="J236" i="13"/>
  <c r="J237" i="13"/>
  <c r="J238" i="13"/>
  <c r="J239" i="13"/>
  <c r="J240" i="13"/>
  <c r="J241" i="13"/>
  <c r="J242" i="13"/>
  <c r="J243" i="13"/>
  <c r="J244" i="13"/>
  <c r="J245" i="13"/>
  <c r="J246" i="13"/>
  <c r="J247" i="13"/>
  <c r="J248" i="13"/>
  <c r="J249" i="13"/>
  <c r="J250" i="13"/>
  <c r="J251" i="13"/>
  <c r="J252" i="13"/>
  <c r="J253" i="13"/>
  <c r="J254" i="13"/>
  <c r="J255" i="13"/>
  <c r="J256" i="13"/>
  <c r="J257" i="13"/>
  <c r="J258" i="13"/>
  <c r="J259" i="13"/>
  <c r="J260" i="13"/>
  <c r="J261" i="13"/>
  <c r="J262" i="13"/>
  <c r="J263" i="13"/>
  <c r="J264" i="13"/>
  <c r="J265" i="13"/>
  <c r="J266" i="13"/>
  <c r="J267" i="13"/>
  <c r="J268" i="13"/>
  <c r="J269" i="13"/>
  <c r="J270" i="13"/>
  <c r="J271" i="13"/>
  <c r="J272" i="13"/>
  <c r="J273" i="13"/>
  <c r="J274" i="13"/>
  <c r="J275" i="13"/>
  <c r="J276" i="13"/>
  <c r="J277" i="13"/>
  <c r="J278" i="13"/>
  <c r="J279" i="13"/>
  <c r="J280" i="13"/>
  <c r="J281" i="13"/>
  <c r="J282" i="13"/>
  <c r="J283" i="13"/>
  <c r="J284" i="13"/>
  <c r="J285" i="13"/>
  <c r="J286" i="13"/>
  <c r="J287" i="13"/>
  <c r="J288" i="13"/>
  <c r="J289" i="13"/>
  <c r="J290" i="13"/>
  <c r="J291" i="13"/>
  <c r="J292" i="13"/>
  <c r="J293" i="13"/>
  <c r="J294" i="13"/>
  <c r="J295" i="13"/>
  <c r="J296" i="13"/>
  <c r="J297" i="13"/>
  <c r="J298" i="13"/>
  <c r="J299" i="13"/>
  <c r="J300" i="13"/>
  <c r="J301" i="13"/>
  <c r="J302" i="13"/>
  <c r="J303" i="13"/>
  <c r="J304" i="13"/>
  <c r="J305" i="13"/>
  <c r="J306" i="13"/>
  <c r="J307" i="13"/>
  <c r="J308" i="13"/>
  <c r="J309" i="13"/>
  <c r="J310" i="13"/>
  <c r="J311" i="13"/>
  <c r="J312" i="13"/>
  <c r="J313" i="13"/>
  <c r="J314" i="13"/>
  <c r="J315" i="13"/>
  <c r="J316" i="13"/>
  <c r="J317" i="13"/>
  <c r="J318" i="13"/>
  <c r="J319" i="13"/>
  <c r="J320" i="13"/>
  <c r="J321" i="13"/>
  <c r="J322" i="13"/>
  <c r="J323" i="13"/>
  <c r="J324" i="13"/>
  <c r="J325" i="13"/>
  <c r="J326" i="13"/>
  <c r="J327" i="13"/>
  <c r="J328" i="13"/>
  <c r="J329" i="13"/>
  <c r="J330" i="13"/>
  <c r="J331" i="13"/>
  <c r="J332" i="13"/>
  <c r="J333" i="13"/>
  <c r="J334" i="13"/>
  <c r="J335" i="13"/>
  <c r="J336" i="13"/>
  <c r="J337" i="13"/>
  <c r="J338" i="13"/>
  <c r="J339" i="13"/>
  <c r="J340" i="13"/>
  <c r="J341" i="13"/>
  <c r="J342" i="13"/>
  <c r="J343" i="13"/>
  <c r="J344" i="13"/>
  <c r="J345" i="13"/>
  <c r="J346" i="13"/>
  <c r="J347" i="13"/>
  <c r="J348" i="13"/>
  <c r="J349" i="13"/>
  <c r="J350" i="13"/>
  <c r="J351" i="13"/>
  <c r="J352" i="13"/>
  <c r="J7" i="13"/>
  <c r="J6" i="13"/>
  <c r="J5" i="13"/>
  <c r="H22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4" i="12"/>
  <c r="H45" i="12"/>
  <c r="H46" i="12"/>
  <c r="H47" i="12"/>
  <c r="H12" i="12"/>
  <c r="H13" i="12"/>
  <c r="H14" i="12"/>
  <c r="H15" i="12"/>
  <c r="H16" i="12"/>
  <c r="H17" i="12"/>
  <c r="H18" i="12"/>
  <c r="H19" i="12"/>
  <c r="H20" i="12"/>
  <c r="H21" i="12"/>
  <c r="H11" i="12"/>
  <c r="H10" i="12"/>
  <c r="H9" i="12"/>
  <c r="H8" i="12"/>
  <c r="D13" i="4"/>
  <c r="D10" i="4"/>
  <c r="F10" i="4" s="1"/>
  <c r="D11" i="4"/>
  <c r="D12" i="4"/>
  <c r="F12" i="4" s="1"/>
  <c r="D9" i="4"/>
  <c r="F11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9" i="4"/>
  <c r="F4" i="4"/>
  <c r="F5" i="4"/>
  <c r="F6" i="4"/>
  <c r="F7" i="4"/>
  <c r="F3" i="4"/>
  <c r="F6" i="12" l="1"/>
  <c r="F7" i="12"/>
  <c r="H7" i="12" s="1"/>
  <c r="E6" i="9"/>
  <c r="E22" i="9" s="1"/>
  <c r="G10" i="9"/>
  <c r="C5" i="20"/>
  <c r="E9" i="20"/>
  <c r="C17" i="20"/>
  <c r="E17" i="20" s="1"/>
  <c r="E18" i="20"/>
  <c r="C6" i="9"/>
  <c r="C22" i="9" s="1"/>
  <c r="B11" i="6"/>
  <c r="B10" i="6" s="1"/>
  <c r="B9" i="6" s="1"/>
  <c r="B8" i="6" s="1"/>
  <c r="G7" i="9"/>
  <c r="G6" i="9" s="1"/>
  <c r="G22" i="9" s="1"/>
  <c r="H281" i="14"/>
  <c r="H565" i="14"/>
  <c r="J282" i="14"/>
  <c r="M350" i="14"/>
  <c r="M366" i="14"/>
  <c r="M382" i="14"/>
  <c r="M393" i="14"/>
  <c r="M403" i="14"/>
  <c r="M445" i="14"/>
  <c r="M474" i="14"/>
  <c r="M509" i="14"/>
  <c r="M516" i="14"/>
  <c r="M536" i="14"/>
  <c r="M543" i="14"/>
  <c r="M376" i="14"/>
  <c r="M395" i="14"/>
  <c r="M421" i="14"/>
  <c r="M526" i="14"/>
  <c r="M354" i="14"/>
  <c r="M370" i="14"/>
  <c r="M398" i="14"/>
  <c r="M441" i="14"/>
  <c r="M456" i="14"/>
  <c r="M468" i="14"/>
  <c r="M503" i="14"/>
  <c r="M530" i="14"/>
  <c r="M539" i="14"/>
  <c r="M562" i="14"/>
  <c r="M372" i="14"/>
  <c r="M450" i="14"/>
  <c r="M470" i="14"/>
  <c r="M505" i="14"/>
  <c r="M532" i="14"/>
  <c r="M401" i="14"/>
  <c r="M426" i="14"/>
  <c r="M472" i="14"/>
  <c r="M507" i="14"/>
  <c r="M522" i="14"/>
  <c r="M534" i="14"/>
  <c r="J566" i="14"/>
  <c r="H547" i="14"/>
  <c r="H321" i="14"/>
  <c r="H311" i="14"/>
  <c r="H302" i="14"/>
  <c r="M277" i="14"/>
  <c r="N348" i="14"/>
  <c r="T348" i="14" s="1"/>
  <c r="M348" i="14" s="1"/>
  <c r="N349" i="14"/>
  <c r="N392" i="14" s="1"/>
  <c r="T392" i="14" s="1"/>
  <c r="M392" i="14" s="1"/>
  <c r="H553" i="14"/>
  <c r="M314" i="14"/>
  <c r="H275" i="14"/>
  <c r="M550" i="14"/>
  <c r="H304" i="14"/>
  <c r="M286" i="14"/>
  <c r="N418" i="14"/>
  <c r="N433" i="14" s="1"/>
  <c r="T433" i="14" s="1"/>
  <c r="M433" i="14" s="1"/>
  <c r="T420" i="14"/>
  <c r="M420" i="14" s="1"/>
  <c r="N440" i="14"/>
  <c r="T440" i="14" s="1"/>
  <c r="M440" i="14" s="1"/>
  <c r="N435" i="14"/>
  <c r="T435" i="14" s="1"/>
  <c r="M435" i="14" s="1"/>
  <c r="N467" i="14"/>
  <c r="T467" i="14" s="1"/>
  <c r="M467" i="14" s="1"/>
  <c r="T345" i="14"/>
  <c r="M345" i="14" s="1"/>
  <c r="N347" i="14"/>
  <c r="N419" i="14"/>
  <c r="N500" i="14"/>
  <c r="N406" i="14"/>
  <c r="T406" i="14" s="1"/>
  <c r="M406" i="14" s="1"/>
  <c r="N417" i="14"/>
  <c r="A33" i="6" l="1"/>
  <c r="B33" i="6"/>
  <c r="C4" i="20"/>
  <c r="E4" i="20" s="1"/>
  <c r="E5" i="20"/>
  <c r="F5" i="12"/>
  <c r="H5" i="12" s="1"/>
  <c r="H6" i="12"/>
  <c r="N391" i="14"/>
  <c r="T391" i="14" s="1"/>
  <c r="M391" i="14" s="1"/>
  <c r="J304" i="14"/>
  <c r="J547" i="14"/>
  <c r="H564" i="14"/>
  <c r="J553" i="14"/>
  <c r="N365" i="14"/>
  <c r="T365" i="14" s="1"/>
  <c r="M365" i="14" s="1"/>
  <c r="J281" i="14"/>
  <c r="N360" i="14"/>
  <c r="T360" i="14" s="1"/>
  <c r="M360" i="14" s="1"/>
  <c r="N364" i="14"/>
  <c r="T364" i="14" s="1"/>
  <c r="M364" i="14" s="1"/>
  <c r="J565" i="14"/>
  <c r="J311" i="14"/>
  <c r="N361" i="14"/>
  <c r="T361" i="14" s="1"/>
  <c r="M361" i="14" s="1"/>
  <c r="H286" i="14"/>
  <c r="J321" i="14"/>
  <c r="H320" i="14"/>
  <c r="M561" i="14"/>
  <c r="H550" i="14"/>
  <c r="J275" i="14"/>
  <c r="H274" i="14"/>
  <c r="H277" i="14"/>
  <c r="M538" i="14"/>
  <c r="M342" i="14"/>
  <c r="T418" i="14"/>
  <c r="M418" i="14" s="1"/>
  <c r="N438" i="14"/>
  <c r="T438" i="14" s="1"/>
  <c r="M438" i="14" s="1"/>
  <c r="N465" i="14"/>
  <c r="T465" i="14" s="1"/>
  <c r="M465" i="14" s="1"/>
  <c r="T349" i="14"/>
  <c r="M349" i="14" s="1"/>
  <c r="H314" i="14"/>
  <c r="J302" i="14"/>
  <c r="H301" i="14"/>
  <c r="N502" i="14"/>
  <c r="T502" i="14" s="1"/>
  <c r="M502" i="14" s="1"/>
  <c r="T500" i="14"/>
  <c r="M500" i="14" s="1"/>
  <c r="N529" i="14"/>
  <c r="T529" i="14" s="1"/>
  <c r="M529" i="14" s="1"/>
  <c r="T347" i="14"/>
  <c r="M347" i="14" s="1"/>
  <c r="N390" i="14"/>
  <c r="T390" i="14" s="1"/>
  <c r="M390" i="14" s="1"/>
  <c r="N363" i="14"/>
  <c r="T363" i="14" s="1"/>
  <c r="M363" i="14" s="1"/>
  <c r="N359" i="14"/>
  <c r="T359" i="14" s="1"/>
  <c r="M359" i="14" s="1"/>
  <c r="U482" i="14"/>
  <c r="N482" i="14" s="1"/>
  <c r="T417" i="14"/>
  <c r="M417" i="14" s="1"/>
  <c r="N437" i="14"/>
  <c r="T437" i="14" s="1"/>
  <c r="M437" i="14" s="1"/>
  <c r="N432" i="14"/>
  <c r="T432" i="14" s="1"/>
  <c r="M432" i="14" s="1"/>
  <c r="N464" i="14"/>
  <c r="T464" i="14" s="1"/>
  <c r="M464" i="14" s="1"/>
  <c r="N466" i="14"/>
  <c r="T466" i="14" s="1"/>
  <c r="M466" i="14" s="1"/>
  <c r="T419" i="14"/>
  <c r="M419" i="14" s="1"/>
  <c r="N439" i="14"/>
  <c r="T439" i="14" s="1"/>
  <c r="M439" i="14" s="1"/>
  <c r="N434" i="14"/>
  <c r="T434" i="14" s="1"/>
  <c r="M434" i="14" s="1"/>
  <c r="U409" i="14" l="1"/>
  <c r="N409" i="14" s="1"/>
  <c r="J314" i="14"/>
  <c r="J564" i="14"/>
  <c r="J301" i="14"/>
  <c r="J320" i="14"/>
  <c r="J277" i="14"/>
  <c r="H549" i="14"/>
  <c r="J550" i="14"/>
  <c r="J286" i="14"/>
  <c r="H285" i="14"/>
  <c r="M463" i="14"/>
  <c r="M528" i="14"/>
  <c r="M499" i="14"/>
  <c r="M362" i="14"/>
  <c r="M389" i="14"/>
  <c r="H250" i="14"/>
  <c r="J274" i="14"/>
  <c r="H561" i="14"/>
  <c r="M358" i="14"/>
  <c r="M436" i="14"/>
  <c r="M346" i="14"/>
  <c r="H310" i="14"/>
  <c r="M501" i="14"/>
  <c r="M431" i="14"/>
  <c r="M416" i="14"/>
  <c r="U410" i="14"/>
  <c r="N410" i="14" s="1"/>
  <c r="N414" i="14" s="1"/>
  <c r="T414" i="14" s="1"/>
  <c r="M414" i="14" s="1"/>
  <c r="U480" i="14"/>
  <c r="N480" i="14" s="1"/>
  <c r="T480" i="14" s="1"/>
  <c r="M480" i="14" s="1"/>
  <c r="H538" i="14"/>
  <c r="U479" i="14"/>
  <c r="N479" i="14" s="1"/>
  <c r="U408" i="14"/>
  <c r="N408" i="14" s="1"/>
  <c r="U481" i="14"/>
  <c r="N481" i="14" s="1"/>
  <c r="N492" i="14"/>
  <c r="T492" i="14" s="1"/>
  <c r="M492" i="14" s="1"/>
  <c r="N487" i="14"/>
  <c r="T487" i="14" s="1"/>
  <c r="M487" i="14" s="1"/>
  <c r="N497" i="14"/>
  <c r="T497" i="14" s="1"/>
  <c r="M497" i="14" s="1"/>
  <c r="T482" i="14"/>
  <c r="M482" i="14" s="1"/>
  <c r="T409" i="14"/>
  <c r="M409" i="14" s="1"/>
  <c r="N413" i="14"/>
  <c r="T413" i="14" s="1"/>
  <c r="M413" i="14" s="1"/>
  <c r="J549" i="14" l="1"/>
  <c r="T410" i="14"/>
  <c r="M410" i="14" s="1"/>
  <c r="J538" i="14"/>
  <c r="N485" i="14"/>
  <c r="T485" i="14" s="1"/>
  <c r="M485" i="14" s="1"/>
  <c r="J561" i="14"/>
  <c r="H560" i="14"/>
  <c r="M498" i="14"/>
  <c r="J285" i="14"/>
  <c r="H284" i="14"/>
  <c r="J310" i="14"/>
  <c r="H309" i="14"/>
  <c r="H8" i="14"/>
  <c r="J250" i="14"/>
  <c r="N490" i="14"/>
  <c r="T490" i="14" s="1"/>
  <c r="M490" i="14" s="1"/>
  <c r="N495" i="14"/>
  <c r="T495" i="14" s="1"/>
  <c r="M495" i="14" s="1"/>
  <c r="N496" i="14"/>
  <c r="T496" i="14" s="1"/>
  <c r="M496" i="14" s="1"/>
  <c r="T481" i="14"/>
  <c r="M481" i="14" s="1"/>
  <c r="N491" i="14"/>
  <c r="T491" i="14" s="1"/>
  <c r="M491" i="14" s="1"/>
  <c r="N486" i="14"/>
  <c r="T486" i="14" s="1"/>
  <c r="M486" i="14" s="1"/>
  <c r="N412" i="14"/>
  <c r="T412" i="14" s="1"/>
  <c r="M412" i="14" s="1"/>
  <c r="T408" i="14"/>
  <c r="M408" i="14" s="1"/>
  <c r="N489" i="14"/>
  <c r="T489" i="14" s="1"/>
  <c r="M489" i="14" s="1"/>
  <c r="T479" i="14"/>
  <c r="M479" i="14" s="1"/>
  <c r="N484" i="14"/>
  <c r="T484" i="14" s="1"/>
  <c r="M484" i="14" s="1"/>
  <c r="N494" i="14"/>
  <c r="T494" i="14" s="1"/>
  <c r="M494" i="14" s="1"/>
  <c r="J309" i="14" l="1"/>
  <c r="M493" i="14"/>
  <c r="H498" i="14"/>
  <c r="M483" i="14"/>
  <c r="M488" i="14"/>
  <c r="H559" i="14"/>
  <c r="J560" i="14"/>
  <c r="M405" i="14"/>
  <c r="J8" i="14"/>
  <c r="M478" i="14"/>
  <c r="M411" i="14"/>
  <c r="J284" i="14"/>
  <c r="H283" i="14"/>
  <c r="J498" i="14" l="1"/>
  <c r="J283" i="14"/>
  <c r="M341" i="14"/>
  <c r="M415" i="14"/>
  <c r="J559" i="14"/>
  <c r="H558" i="14"/>
  <c r="H7" i="14"/>
  <c r="J558" i="14" l="1"/>
  <c r="H557" i="14"/>
  <c r="M340" i="14"/>
  <c r="J7" i="14"/>
  <c r="H340" i="14" l="1"/>
  <c r="J557" i="14"/>
  <c r="H556" i="14"/>
  <c r="H555" i="14" l="1"/>
  <c r="J556" i="14"/>
  <c r="J340" i="14"/>
  <c r="H339" i="14"/>
  <c r="J555" i="14" l="1"/>
  <c r="J339" i="14"/>
  <c r="H338" i="14"/>
  <c r="H337" i="14" l="1"/>
  <c r="J338" i="14"/>
  <c r="H336" i="14" l="1"/>
  <c r="J337" i="14"/>
  <c r="J336" i="14" l="1"/>
  <c r="H6" i="14"/>
  <c r="H5" i="14" l="1"/>
  <c r="J6" i="14"/>
  <c r="H4" i="14" l="1"/>
  <c r="J5" i="14"/>
  <c r="J4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</author>
  </authors>
  <commentList>
    <comment ref="D31" authorId="0" shapeId="0" xr:uid="{964ACB04-FF30-4243-9DA1-F58E406490EC}">
      <text>
        <r>
          <rPr>
            <b/>
            <sz val="9"/>
            <color indexed="81"/>
            <rFont val="돋움"/>
            <family val="3"/>
            <charset val="129"/>
          </rPr>
          <t>단위사업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동일사업에서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특별회계가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혼재할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단위사업을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개로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분리
</t>
        </r>
      </text>
    </comment>
    <comment ref="F169" authorId="0" shapeId="0" xr:uid="{958DFECA-8CC9-4ED7-8600-7526023DC868}">
      <text>
        <r>
          <rPr>
            <b/>
            <sz val="9"/>
            <color indexed="81"/>
            <rFont val="돋움"/>
            <family val="3"/>
            <charset val="129"/>
          </rPr>
          <t>복리후생비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83" authorId="0" shapeId="0" xr:uid="{E77B3A56-3103-4E24-A8D3-EA538DC0D703}">
      <text>
        <r>
          <rPr>
            <b/>
            <sz val="9"/>
            <color indexed="81"/>
            <rFont val="돋움"/>
            <family val="3"/>
            <charset val="129"/>
          </rPr>
          <t>복리후생비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만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37" authorId="0" shapeId="0" xr:uid="{65D0BD37-5253-4579-A671-A8FF98C7C561}">
      <text>
        <r>
          <rPr>
            <b/>
            <sz val="9"/>
            <color indexed="81"/>
            <rFont val="돋움"/>
            <family val="3"/>
            <charset val="129"/>
          </rPr>
          <t>지급수수료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심사비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70" authorId="0" shapeId="0" xr:uid="{CCD514ED-539F-427B-94B1-591A5EED5EDE}">
      <text>
        <r>
          <rPr>
            <b/>
            <sz val="9"/>
            <color indexed="81"/>
            <rFont val="돋움"/>
            <family val="3"/>
            <charset val="129"/>
          </rPr>
          <t>지급수수료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심사비만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</author>
  </authors>
  <commentList>
    <comment ref="K209" authorId="0" shapeId="0" xr:uid="{2A90EC1D-98FD-47A5-8689-967B0E4D0B71}">
      <text>
        <r>
          <rPr>
            <b/>
            <sz val="9"/>
            <color indexed="81"/>
            <rFont val="Tahoma"/>
            <family val="2"/>
          </rPr>
          <t>LG: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저공해차량으로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변경에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따른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유류비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감소</t>
        </r>
      </text>
    </comment>
    <comment ref="O551" authorId="0" shapeId="0" xr:uid="{011462AF-7AA5-47C4-A3AF-5A9A76918EF5}">
      <text>
        <r>
          <rPr>
            <b/>
            <sz val="9"/>
            <color indexed="81"/>
            <rFont val="Tahoma"/>
            <family val="2"/>
          </rPr>
          <t>LG:</t>
        </r>
        <r>
          <rPr>
            <sz val="9"/>
            <color indexed="81"/>
            <rFont val="Tahoma"/>
            <family val="2"/>
          </rPr>
          <t xml:space="preserve">
2025.7.</t>
        </r>
        <r>
          <rPr>
            <sz val="9"/>
            <color indexed="81"/>
            <rFont val="돋움"/>
            <family val="3"/>
            <charset val="129"/>
          </rPr>
          <t>까지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일반직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기능직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지급계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총계</t>
        </r>
        <r>
          <rPr>
            <sz val="9"/>
            <color indexed="81"/>
            <rFont val="Tahoma"/>
            <family val="2"/>
          </rPr>
          <t xml:space="preserve"> / 7</t>
        </r>
        <r>
          <rPr>
            <sz val="9"/>
            <color indexed="81"/>
            <rFont val="돋움"/>
            <family val="3"/>
            <charset val="129"/>
          </rPr>
          <t>월</t>
        </r>
      </text>
    </comment>
    <comment ref="P551" authorId="0" shapeId="0" xr:uid="{5D0FC1FA-8869-43BC-B1A3-6C2865FC0C2F}">
      <text>
        <r>
          <rPr>
            <b/>
            <sz val="9"/>
            <color indexed="81"/>
            <rFont val="Tahoma"/>
            <family val="2"/>
          </rPr>
          <t>LG: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다등급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평가율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</author>
  </authors>
  <commentList>
    <comment ref="C114" authorId="0" shapeId="0" xr:uid="{162967ED-F5BA-4920-BFEF-2B8C0052390F}">
      <text>
        <r>
          <rPr>
            <b/>
            <sz val="9"/>
            <color indexed="81"/>
            <rFont val="돋움"/>
            <family val="3"/>
            <charset val="129"/>
          </rPr>
          <t>단위사업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동일사업에서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특별회계가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혼재할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단위사업을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개로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분리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TG</author>
  </authors>
  <commentList>
    <comment ref="K34" authorId="0" shapeId="0" xr:uid="{2F2995EB-A5A3-474F-A244-C4AFD368CC1A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근속자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평균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TG</author>
  </authors>
  <commentList>
    <comment ref="N76" authorId="0" shapeId="0" xr:uid="{CD5F7B56-C907-4F2F-8DA9-C3D06B0F4F8D}">
      <text>
        <r>
          <rPr>
            <b/>
            <sz val="9"/>
            <color rgb="FF000000"/>
            <rFont val="Tahoma"/>
            <family val="2"/>
          </rPr>
          <t>25</t>
        </r>
        <r>
          <rPr>
            <b/>
            <sz val="9"/>
            <color rgb="FF000000"/>
            <rFont val="돋움"/>
            <family val="3"/>
            <charset val="129"/>
          </rPr>
          <t>년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평균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상하수도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요금</t>
        </r>
        <r>
          <rPr>
            <b/>
            <sz val="9"/>
            <color rgb="FF000000"/>
            <rFont val="Tahoma"/>
            <family val="2"/>
          </rPr>
          <t xml:space="preserve"> 17,798</t>
        </r>
        <r>
          <rPr>
            <b/>
            <sz val="9"/>
            <color rgb="FF000000"/>
            <rFont val="돋움"/>
            <family val="3"/>
            <charset val="129"/>
          </rPr>
          <t xml:space="preserve">천원
</t>
        </r>
        <r>
          <rPr>
            <b/>
            <sz val="9"/>
            <color rgb="FF000000"/>
            <rFont val="Tahoma"/>
            <family val="2"/>
          </rPr>
          <t xml:space="preserve"> 11%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</author>
    <author>임재윤</author>
    <author>최광호</author>
    <author>lg</author>
  </authors>
  <commentList>
    <comment ref="Q15" authorId="0" shapeId="0" xr:uid="{63DDD990-E3EC-40D5-81AD-63CB4FEA7509}">
      <text>
        <r>
          <rPr>
            <sz val="9"/>
            <color indexed="81"/>
            <rFont val="Tahoma"/>
            <family val="2"/>
          </rPr>
          <t>23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평균</t>
        </r>
        <r>
          <rPr>
            <sz val="9"/>
            <color indexed="81"/>
            <rFont val="Tahoma"/>
            <family val="2"/>
          </rPr>
          <t xml:space="preserve"> 88</t>
        </r>
        <r>
          <rPr>
            <sz val="9"/>
            <color indexed="81"/>
            <rFont val="돋움"/>
            <family val="3"/>
            <charset val="129"/>
          </rPr>
          <t>만원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사용</t>
        </r>
      </text>
    </comment>
    <comment ref="R16" authorId="1" shapeId="0" xr:uid="{EC105B62-4552-4D47-ABA9-EA775857C78B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프린터</t>
        </r>
        <r>
          <rPr>
            <sz val="9"/>
            <color indexed="81"/>
            <rFont val="Tahoma"/>
            <family val="2"/>
          </rPr>
          <t xml:space="preserve">(5) : </t>
        </r>
        <r>
          <rPr>
            <sz val="9"/>
            <color indexed="81"/>
            <rFont val="돋움"/>
            <family val="3"/>
            <charset val="129"/>
          </rPr>
          <t>소장실</t>
        </r>
        <r>
          <rPr>
            <sz val="9"/>
            <color indexed="81"/>
            <rFont val="Tahoma"/>
            <family val="2"/>
          </rPr>
          <t xml:space="preserve">1, </t>
        </r>
        <r>
          <rPr>
            <sz val="9"/>
            <color indexed="81"/>
            <rFont val="돋움"/>
            <family val="3"/>
            <charset val="129"/>
          </rPr>
          <t>제어실</t>
        </r>
        <r>
          <rPr>
            <sz val="9"/>
            <color indexed="81"/>
            <rFont val="Tahoma"/>
            <family val="2"/>
          </rPr>
          <t xml:space="preserve"> 4 
</t>
        </r>
        <r>
          <rPr>
            <sz val="9"/>
            <color indexed="81"/>
            <rFont val="돋움"/>
            <family val="3"/>
            <charset val="129"/>
          </rPr>
          <t xml:space="preserve">추가인쇄비
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돋움"/>
            <family val="3"/>
            <charset val="129"/>
          </rPr>
          <t>흑백</t>
        </r>
        <r>
          <rPr>
            <sz val="9"/>
            <color indexed="81"/>
            <rFont val="Tahoma"/>
            <family val="2"/>
          </rPr>
          <t xml:space="preserve"> : 10,000</t>
        </r>
        <r>
          <rPr>
            <sz val="9"/>
            <color indexed="81"/>
            <rFont val="돋움"/>
            <family val="3"/>
            <charset val="129"/>
          </rPr>
          <t>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초과분</t>
        </r>
        <r>
          <rPr>
            <sz val="9"/>
            <color indexed="81"/>
            <rFont val="Tahoma"/>
            <family val="2"/>
          </rPr>
          <t xml:space="preserve"> - 15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 xml:space="preserve"> (A4</t>
        </r>
        <r>
          <rPr>
            <sz val="9"/>
            <color indexed="81"/>
            <rFont val="돋움"/>
            <family val="3"/>
            <charset val="129"/>
          </rPr>
          <t>기준</t>
        </r>
        <r>
          <rPr>
            <sz val="9"/>
            <color indexed="81"/>
            <rFont val="Tahoma"/>
            <family val="2"/>
          </rPr>
          <t>)
-</t>
        </r>
        <r>
          <rPr>
            <sz val="9"/>
            <color indexed="81"/>
            <rFont val="돋움"/>
            <family val="3"/>
            <charset val="129"/>
          </rPr>
          <t>칼라</t>
        </r>
        <r>
          <rPr>
            <sz val="9"/>
            <color indexed="81"/>
            <rFont val="Tahoma"/>
            <family val="2"/>
          </rPr>
          <t xml:space="preserve"> : 1,000</t>
        </r>
        <r>
          <rPr>
            <sz val="9"/>
            <color indexed="81"/>
            <rFont val="돋움"/>
            <family val="3"/>
            <charset val="129"/>
          </rPr>
          <t>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초과</t>
        </r>
        <r>
          <rPr>
            <sz val="9"/>
            <color indexed="81"/>
            <rFont val="Tahoma"/>
            <family val="2"/>
          </rPr>
          <t xml:space="preserve"> - 150</t>
        </r>
      </text>
    </comment>
    <comment ref="Q35" authorId="1" shapeId="0" xr:uid="{EDF25AFF-E2CD-4614-9CFE-5C2EBCCEFB21}">
      <text>
        <r>
          <rPr>
            <b/>
            <sz val="9"/>
            <color indexed="81"/>
            <rFont val="Tahoma"/>
            <family val="2"/>
          </rPr>
          <t>23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3,350,000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 xml:space="preserve">회
</t>
        </r>
        <r>
          <rPr>
            <b/>
            <sz val="9"/>
            <color indexed="81"/>
            <rFont val="Tahoma"/>
            <family val="2"/>
          </rPr>
          <t>24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: 3,600,000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>/1</t>
        </r>
        <r>
          <rPr>
            <b/>
            <sz val="9"/>
            <color indexed="81"/>
            <rFont val="돋움"/>
            <family val="3"/>
            <charset val="129"/>
          </rPr>
          <t>회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산업안전보건법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</t>
        </r>
        <r>
          <rPr>
            <sz val="9"/>
            <color indexed="81"/>
            <rFont val="Tahoma"/>
            <family val="2"/>
          </rPr>
          <t>42</t>
        </r>
        <r>
          <rPr>
            <sz val="9"/>
            <color indexed="81"/>
            <rFont val="돋움"/>
            <family val="3"/>
            <charset val="129"/>
          </rPr>
          <t>조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작업환경측정등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제</t>
        </r>
        <r>
          <rPr>
            <sz val="9"/>
            <color indexed="81"/>
            <rFont val="Tahoma"/>
            <family val="2"/>
          </rPr>
          <t>4</t>
        </r>
        <r>
          <rPr>
            <sz val="9"/>
            <color indexed="81"/>
            <rFont val="돋움"/>
            <family val="3"/>
            <charset val="129"/>
          </rPr>
          <t>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관련</t>
        </r>
      </text>
    </comment>
    <comment ref="Q36" authorId="1" shapeId="0" xr:uid="{DDC5E0E2-F1C1-4A4D-B43A-4E9C33950327}">
      <text>
        <r>
          <rPr>
            <sz val="9"/>
            <color indexed="81"/>
            <rFont val="돋움"/>
            <family val="3"/>
            <charset val="129"/>
          </rPr>
          <t>소방시설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설치ㆍ유지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안전관리에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관한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법률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</t>
        </r>
        <r>
          <rPr>
            <sz val="9"/>
            <color indexed="81"/>
            <rFont val="Tahoma"/>
            <family val="2"/>
          </rPr>
          <t>25</t>
        </r>
        <r>
          <rPr>
            <sz val="9"/>
            <color indexed="81"/>
            <rFont val="돋움"/>
            <family val="3"/>
            <charset val="129"/>
          </rPr>
          <t>조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소방시설등의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자체점검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등</t>
        </r>
        <r>
          <rPr>
            <sz val="9"/>
            <color indexed="81"/>
            <rFont val="Tahoma"/>
            <family val="2"/>
          </rPr>
          <t>)  2</t>
        </r>
        <r>
          <rPr>
            <sz val="9"/>
            <color indexed="81"/>
            <rFont val="돋움"/>
            <family val="3"/>
            <charset val="129"/>
          </rPr>
          <t>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관련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Q38" authorId="1" shapeId="0" xr:uid="{36D798C1-4CFA-4C57-8031-39B9E84388E8}">
      <text>
        <r>
          <rPr>
            <sz val="9"/>
            <color indexed="81"/>
            <rFont val="돋움"/>
            <family val="3"/>
            <charset val="129"/>
          </rPr>
          <t xml:space="preserve">TMS 전송항목(1회/분기) : 먼지, 황산화물, 질소산화물, 일산화탄소, 염화수소
TMS 미전송항목(1회/분기) : 황화수소 외 29종(벤조(a)피렌 포함)
바이오가스보일러(1회/년) :  먼지, 황산화물, 질소산화물, 일산화탄소, 염화수소
잉여가스보일러(1회/년) :  먼지, 황산화물, 질소산화물, 일산화탄소, 염화수소
</t>
        </r>
        <r>
          <rPr>
            <b/>
            <u/>
            <sz val="9"/>
            <color indexed="81"/>
            <rFont val="돋움"/>
            <family val="3"/>
            <charset val="129"/>
          </rPr>
          <t>'24년 견적서 : 37,248천원(VAT별도)</t>
        </r>
      </text>
    </comment>
    <comment ref="Q39" authorId="1" shapeId="0" xr:uid="{89828149-38C5-4323-85DA-6768A46466C1}">
      <text>
        <r>
          <rPr>
            <sz val="9"/>
            <color indexed="81"/>
            <rFont val="돋움"/>
            <family val="3"/>
            <charset val="129"/>
          </rPr>
          <t xml:space="preserve">복합악취(1회/년) : 10지점
지정악취(1회/년) : 암모니아 외 21종
</t>
        </r>
        <r>
          <rPr>
            <b/>
            <u/>
            <sz val="9"/>
            <color indexed="81"/>
            <rFont val="돋움"/>
            <family val="3"/>
            <charset val="129"/>
          </rPr>
          <t>'24년 견적 : 23,000천원(VAT 별도)</t>
        </r>
      </text>
    </comment>
    <comment ref="Q40" authorId="1" shapeId="0" xr:uid="{54C842B7-EE9C-4A50-8B34-E0399F143320}">
      <text>
        <r>
          <rPr>
            <sz val="9"/>
            <color indexed="81"/>
            <rFont val="Tahoma"/>
            <family val="2"/>
          </rPr>
          <t>TMS</t>
        </r>
        <r>
          <rPr>
            <sz val="9"/>
            <color indexed="81"/>
            <rFont val="돋움"/>
            <family val="3"/>
            <charset val="129"/>
          </rPr>
          <t>유지보수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견적가</t>
        </r>
        <r>
          <rPr>
            <sz val="9"/>
            <color indexed="81"/>
            <rFont val="Tahoma"/>
            <family val="2"/>
          </rPr>
          <t xml:space="preserve"> 42,009,000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적용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대기환경보전법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</t>
        </r>
        <r>
          <rPr>
            <sz val="9"/>
            <color indexed="81"/>
            <rFont val="Tahoma"/>
            <family val="2"/>
          </rPr>
          <t>32</t>
        </r>
        <r>
          <rPr>
            <sz val="9"/>
            <color indexed="81"/>
            <rFont val="돋움"/>
            <family val="3"/>
            <charset val="129"/>
          </rPr>
          <t>조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측정기기의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부착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등</t>
        </r>
        <r>
          <rPr>
            <sz val="9"/>
            <color indexed="81"/>
            <rFont val="Tahoma"/>
            <family val="2"/>
          </rPr>
          <t>) 4</t>
        </r>
        <r>
          <rPr>
            <sz val="9"/>
            <color indexed="81"/>
            <rFont val="돋움"/>
            <family val="3"/>
            <charset val="129"/>
          </rPr>
          <t>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관련</t>
        </r>
      </text>
    </comment>
    <comment ref="Q42" authorId="1" shapeId="0" xr:uid="{7393AB8B-87B1-4D46-B324-2FE3D5D025FD}">
      <text>
        <r>
          <rPr>
            <sz val="9"/>
            <color indexed="81"/>
            <rFont val="Tahoma"/>
            <family val="2"/>
          </rPr>
          <t>23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209,000/</t>
        </r>
        <r>
          <rPr>
            <sz val="9"/>
            <color indexed="81"/>
            <rFont val="돋움"/>
            <family val="3"/>
            <charset val="129"/>
          </rPr>
          <t>회</t>
        </r>
        <r>
          <rPr>
            <sz val="9"/>
            <color indexed="81"/>
            <rFont val="Tahoma"/>
            <family val="2"/>
          </rPr>
          <t xml:space="preserve"> 
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250,000 * 12 = 3,000,000</t>
        </r>
      </text>
    </comment>
    <comment ref="Q52" authorId="1" shapeId="0" xr:uid="{404B179F-CB91-4745-BD90-3740298F1956}">
      <text>
        <r>
          <rPr>
            <sz val="9"/>
            <color indexed="81"/>
            <rFont val="돋움"/>
            <family val="3"/>
            <charset val="129"/>
          </rPr>
          <t>정도검사 수수료
먼지측정기 : 978,000원
가스측정기 : 916,000원*5항목 = 
항목 : 이산화항, 질소산화물, 일산화탄소, 염화수소, 산소
유속계 : 528,000원
총계 : 6,086,000원(6,100,000)</t>
        </r>
      </text>
    </comment>
    <comment ref="Q53" authorId="1" shapeId="0" xr:uid="{5610D9F7-965E-422F-BA29-0301F1ECC378}">
      <text>
        <r>
          <rPr>
            <b/>
            <sz val="9"/>
            <color indexed="81"/>
            <rFont val="Tahoma"/>
            <family val="2"/>
          </rPr>
          <t>23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6,270,000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회</t>
        </r>
        <r>
          <rPr>
            <b/>
            <sz val="9"/>
            <color indexed="81"/>
            <rFont val="Tahoma"/>
            <family val="2"/>
          </rPr>
          <t xml:space="preserve">
24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6,500,000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회</t>
        </r>
      </text>
    </comment>
    <comment ref="Q54" authorId="1" shapeId="0" xr:uid="{B3D04547-F736-4A35-A6DD-66268A3153F8}">
      <text>
        <r>
          <rPr>
            <b/>
            <sz val="9"/>
            <color indexed="81"/>
            <rFont val="돋움"/>
            <family val="3"/>
            <charset val="129"/>
          </rPr>
          <t>신소화조 1,500,000/회
구소화조 2,500,000/회</t>
        </r>
      </text>
    </comment>
    <comment ref="Q55" authorId="1" shapeId="0" xr:uid="{8615E00A-5A7A-475A-8C63-C6A9C18783BA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산업안전보건법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</t>
        </r>
        <r>
          <rPr>
            <sz val="9"/>
            <color indexed="81"/>
            <rFont val="Tahoma"/>
            <family val="2"/>
          </rPr>
          <t>36</t>
        </r>
        <r>
          <rPr>
            <sz val="9"/>
            <color indexed="81"/>
            <rFont val="돋움"/>
            <family val="3"/>
            <charset val="129"/>
          </rPr>
          <t>조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안전검사</t>
        </r>
        <r>
          <rPr>
            <sz val="9"/>
            <color indexed="81"/>
            <rFont val="Tahoma"/>
            <family val="2"/>
          </rPr>
          <t>) 1</t>
        </r>
        <r>
          <rPr>
            <sz val="9"/>
            <color indexed="81"/>
            <rFont val="돋움"/>
            <family val="3"/>
            <charset val="129"/>
          </rPr>
          <t>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관련</t>
        </r>
      </text>
    </comment>
    <comment ref="Q58" authorId="1" shapeId="0" xr:uid="{330958F9-6045-4E58-903D-2381327E2D75}">
      <text>
        <r>
          <rPr>
            <sz val="9"/>
            <color indexed="81"/>
            <rFont val="돋움"/>
            <family val="3"/>
            <charset val="129"/>
          </rPr>
          <t>'22년 폐수처리비 : 241,492,374원
'23년 폐수처리비 : 232,862,670원</t>
        </r>
      </text>
    </comment>
    <comment ref="Q59" authorId="2" shapeId="0" xr:uid="{51291BE9-3AA1-4470-BF04-BEE776F4D2E2}">
      <text>
        <r>
          <rPr>
            <b/>
            <sz val="9"/>
            <color indexed="81"/>
            <rFont val="돋움"/>
            <family val="3"/>
            <charset val="129"/>
          </rPr>
          <t>비점오염원</t>
        </r>
        <r>
          <rPr>
            <b/>
            <sz val="9"/>
            <color indexed="81"/>
            <rFont val="Tahoma"/>
            <family val="2"/>
          </rPr>
          <t xml:space="preserve"> 4</t>
        </r>
        <r>
          <rPr>
            <b/>
            <sz val="9"/>
            <color indexed="81"/>
            <rFont val="돋움"/>
            <family val="3"/>
            <charset val="129"/>
          </rPr>
          <t>회</t>
        </r>
        <r>
          <rPr>
            <b/>
            <sz val="9"/>
            <color indexed="81"/>
            <rFont val="Tahoma"/>
            <family val="2"/>
          </rPr>
          <t xml:space="preserve">,
</t>
        </r>
        <r>
          <rPr>
            <b/>
            <sz val="9"/>
            <color indexed="81"/>
            <rFont val="돋움"/>
            <family val="3"/>
            <charset val="129"/>
          </rPr>
          <t>식수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회
기타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회</t>
        </r>
      </text>
    </comment>
    <comment ref="Q60" authorId="2" shapeId="0" xr:uid="{7C5DA582-105B-466C-BE59-DCE7BBC10EF6}">
      <text>
        <r>
          <rPr>
            <b/>
            <sz val="9"/>
            <color indexed="81"/>
            <rFont val="돋움"/>
            <family val="3"/>
            <charset val="129"/>
          </rPr>
          <t>방류수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오염물질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분석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연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 xml:space="preserve">회
</t>
        </r>
        <r>
          <rPr>
            <b/>
            <sz val="9"/>
            <color indexed="81"/>
            <rFont val="Tahoma"/>
            <family val="2"/>
          </rPr>
          <t xml:space="preserve">3,000,000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</text>
    </comment>
    <comment ref="Q62" authorId="1" shapeId="0" xr:uid="{EEBD6020-E993-4CA8-AF0E-984654A02C9A}">
      <text>
        <r>
          <rPr>
            <sz val="9"/>
            <color indexed="81"/>
            <rFont val="돋움"/>
            <family val="3"/>
            <charset val="129"/>
          </rPr>
          <t>임재윤</t>
        </r>
        <r>
          <rPr>
            <sz val="9"/>
            <color indexed="81"/>
            <rFont val="Tahoma"/>
            <family val="2"/>
          </rPr>
          <t xml:space="preserve">:
</t>
        </r>
        <r>
          <rPr>
            <sz val="9"/>
            <color indexed="81"/>
            <rFont val="돋움"/>
            <family val="3"/>
            <charset val="129"/>
          </rPr>
          <t>계측기</t>
        </r>
        <r>
          <rPr>
            <sz val="9"/>
            <color indexed="81"/>
            <rFont val="Tahoma"/>
            <family val="2"/>
          </rPr>
          <t>(6</t>
        </r>
        <r>
          <rPr>
            <sz val="9"/>
            <color indexed="81"/>
            <rFont val="돋움"/>
            <family val="3"/>
            <charset val="129"/>
          </rPr>
          <t>종</t>
        </r>
        <r>
          <rPr>
            <sz val="9"/>
            <color indexed="81"/>
            <rFont val="Tahoma"/>
            <family val="2"/>
          </rPr>
          <t xml:space="preserve">) : DIGITAL INSULATION TESTER </t>
        </r>
        <r>
          <rPr>
            <sz val="9"/>
            <color indexed="81"/>
            <rFont val="돋움"/>
            <family val="3"/>
            <charset val="129"/>
          </rPr>
          <t>외</t>
        </r>
        <r>
          <rPr>
            <sz val="9"/>
            <color indexed="81"/>
            <rFont val="Tahoma"/>
            <family val="2"/>
          </rPr>
          <t xml:space="preserve"> 5</t>
        </r>
        <r>
          <rPr>
            <sz val="9"/>
            <color indexed="81"/>
            <rFont val="돋움"/>
            <family val="3"/>
            <charset val="129"/>
          </rPr>
          <t xml:space="preserve">종
</t>
        </r>
        <r>
          <rPr>
            <sz val="9"/>
            <color indexed="81"/>
            <rFont val="Tahoma"/>
            <family val="2"/>
          </rPr>
          <t>'24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교정비용</t>
        </r>
        <r>
          <rPr>
            <sz val="9"/>
            <color indexed="81"/>
            <rFont val="Tahoma"/>
            <family val="2"/>
          </rPr>
          <t xml:space="preserve"> : 422,470</t>
        </r>
        <r>
          <rPr>
            <sz val="9"/>
            <color indexed="81"/>
            <rFont val="돋움"/>
            <family val="3"/>
            <charset val="129"/>
          </rPr>
          <t>원</t>
        </r>
      </text>
    </comment>
    <comment ref="Q69" authorId="1" shapeId="0" xr:uid="{6869CA0C-E23C-4BD4-B608-205A0002F1BC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69,900</t>
        </r>
      </text>
    </comment>
    <comment ref="Q70" authorId="1" shapeId="0" xr:uid="{5CFF99DA-AC20-4477-8F75-471CEE030DBD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19,760</t>
        </r>
      </text>
    </comment>
    <comment ref="R70" authorId="3" shapeId="0" xr:uid="{FB5685A6-D6C6-4AA2-BCC4-8073567DD484}">
      <text>
        <r>
          <rPr>
            <b/>
            <sz val="9"/>
            <color indexed="81"/>
            <rFont val="Tahoma"/>
            <family val="2"/>
          </rPr>
          <t>lg: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비데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랜트비용</t>
        </r>
        <r>
          <rPr>
            <sz val="9"/>
            <color indexed="81"/>
            <rFont val="Tahoma"/>
            <family val="2"/>
          </rPr>
          <t>(6</t>
        </r>
        <r>
          <rPr>
            <sz val="9"/>
            <color indexed="81"/>
            <rFont val="돋움"/>
            <family val="3"/>
            <charset val="129"/>
          </rPr>
          <t>대</t>
        </r>
        <r>
          <rPr>
            <sz val="9"/>
            <color indexed="81"/>
            <rFont val="Tahoma"/>
            <family val="2"/>
          </rPr>
          <t>)</t>
        </r>
      </text>
    </comment>
    <comment ref="Q71" authorId="1" shapeId="0" xr:uid="{1E118D02-9365-4694-A98E-6DF5F3BD3EC9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사무실</t>
        </r>
        <r>
          <rPr>
            <sz val="9"/>
            <color indexed="81"/>
            <rFont val="Tahoma"/>
            <family val="2"/>
          </rPr>
          <t xml:space="preserve"> : 150,000(VAT</t>
        </r>
        <r>
          <rPr>
            <sz val="9"/>
            <color indexed="81"/>
            <rFont val="돋움"/>
            <family val="3"/>
            <charset val="129"/>
          </rPr>
          <t>별도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계근대</t>
        </r>
        <r>
          <rPr>
            <sz val="9"/>
            <color indexed="81"/>
            <rFont val="Tahoma"/>
            <family val="2"/>
          </rPr>
          <t xml:space="preserve"> : 90,000(VAT</t>
        </r>
        <r>
          <rPr>
            <sz val="9"/>
            <color indexed="81"/>
            <rFont val="돋움"/>
            <family val="3"/>
            <charset val="129"/>
          </rPr>
          <t>별도</t>
        </r>
        <r>
          <rPr>
            <sz val="9"/>
            <color indexed="81"/>
            <rFont val="Tahoma"/>
            <family val="2"/>
          </rPr>
          <t>)</t>
        </r>
      </text>
    </comment>
    <comment ref="R71" authorId="3" shapeId="0" xr:uid="{611E0A12-5263-4E82-AF43-13F0AA38208A}">
      <text>
        <r>
          <rPr>
            <b/>
            <sz val="9"/>
            <color indexed="81"/>
            <rFont val="Tahoma"/>
            <family val="2"/>
          </rPr>
          <t>lg: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사무실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계근대</t>
        </r>
      </text>
    </comment>
    <comment ref="Q72" authorId="1" shapeId="0" xr:uid="{E95887CD-83B1-410C-8E06-8BA68D58EF8F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59,900</t>
        </r>
      </text>
    </comment>
    <comment ref="Q74" authorId="0" shapeId="0" xr:uid="{8F6F7654-F417-4A5A-86DF-01C89ECB9398}">
      <text>
        <r>
          <rPr>
            <sz val="9"/>
            <color indexed="81"/>
            <rFont val="돋움"/>
            <family val="3"/>
            <charset val="129"/>
          </rPr>
          <t>니로</t>
        </r>
        <r>
          <rPr>
            <sz val="9"/>
            <color indexed="81"/>
            <rFont val="Tahoma"/>
            <family val="2"/>
          </rPr>
          <t xml:space="preserve"> 3</t>
        </r>
        <r>
          <rPr>
            <sz val="9"/>
            <color indexed="81"/>
            <rFont val="돋움"/>
            <family val="3"/>
            <charset val="129"/>
          </rPr>
          <t>년계약</t>
        </r>
        <r>
          <rPr>
            <sz val="9"/>
            <color indexed="81"/>
            <rFont val="Tahoma"/>
            <family val="2"/>
          </rPr>
          <t xml:space="preserve">(23.3~26.2)
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970,000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 xml:space="preserve"> * 12 = 11,640,000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Q83" authorId="1" shapeId="0" xr:uid="{5B4C78A4-24EE-422E-A56D-AA2B316DCF6B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방독마스크</t>
        </r>
        <r>
          <rPr>
            <sz val="9"/>
            <color indexed="81"/>
            <rFont val="Tahoma"/>
            <family val="2"/>
          </rPr>
          <t xml:space="preserve"> : 16,500(2</t>
        </r>
        <r>
          <rPr>
            <sz val="9"/>
            <color indexed="81"/>
            <rFont val="돋움"/>
            <family val="3"/>
            <charset val="129"/>
          </rPr>
          <t>회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방진마스크</t>
        </r>
        <r>
          <rPr>
            <sz val="9"/>
            <color indexed="81"/>
            <rFont val="Tahoma"/>
            <family val="2"/>
          </rPr>
          <t xml:space="preserve"> : 1,100
</t>
        </r>
        <r>
          <rPr>
            <sz val="9"/>
            <color indexed="81"/>
            <rFont val="돋움"/>
            <family val="3"/>
            <charset val="129"/>
          </rPr>
          <t>방진복</t>
        </r>
        <r>
          <rPr>
            <sz val="9"/>
            <color indexed="81"/>
            <rFont val="Tahoma"/>
            <family val="2"/>
          </rPr>
          <t xml:space="preserve"> : 7,700</t>
        </r>
      </text>
    </comment>
    <comment ref="Q84" authorId="3" shapeId="0" xr:uid="{C2383D03-DCAB-407F-BC36-4DFAF289CECD}">
      <text>
        <r>
          <rPr>
            <b/>
            <sz val="9"/>
            <color indexed="81"/>
            <rFont val="Tahoma"/>
            <family val="2"/>
          </rPr>
          <t>lg: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일반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장갑</t>
        </r>
        <r>
          <rPr>
            <sz val="9"/>
            <color indexed="81"/>
            <rFont val="Tahoma"/>
            <family val="2"/>
          </rPr>
          <t xml:space="preserve"> : 250</t>
        </r>
        <r>
          <rPr>
            <sz val="9"/>
            <color indexed="81"/>
            <rFont val="돋움"/>
            <family val="3"/>
            <charset val="129"/>
          </rPr>
          <t>원×</t>
        </r>
        <r>
          <rPr>
            <sz val="9"/>
            <color indexed="81"/>
            <rFont val="Tahoma"/>
            <family val="2"/>
          </rPr>
          <t>40</t>
        </r>
        <r>
          <rPr>
            <sz val="9"/>
            <color indexed="81"/>
            <rFont val="돋움"/>
            <family val="3"/>
            <charset val="129"/>
          </rPr>
          <t>명×</t>
        </r>
        <r>
          <rPr>
            <sz val="9"/>
            <color indexed="81"/>
            <rFont val="Tahoma"/>
            <family val="2"/>
          </rPr>
          <t>15</t>
        </r>
        <r>
          <rPr>
            <sz val="9"/>
            <color indexed="81"/>
            <rFont val="돋움"/>
            <family val="3"/>
            <charset val="129"/>
          </rPr>
          <t>일</t>
        </r>
        <r>
          <rPr>
            <sz val="9"/>
            <color indexed="81"/>
            <rFont val="Tahoma"/>
            <family val="2"/>
          </rPr>
          <t xml:space="preserve"> = 150,000</t>
        </r>
        <r>
          <rPr>
            <sz val="9"/>
            <color indexed="81"/>
            <rFont val="돋움"/>
            <family val="3"/>
            <charset val="129"/>
          </rPr>
          <t xml:space="preserve">원
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반코팅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장갑</t>
        </r>
        <r>
          <rPr>
            <sz val="9"/>
            <color indexed="81"/>
            <rFont val="Tahoma"/>
            <family val="2"/>
          </rPr>
          <t xml:space="preserve"> :  300</t>
        </r>
        <r>
          <rPr>
            <sz val="9"/>
            <color indexed="81"/>
            <rFont val="돋움"/>
            <family val="3"/>
            <charset val="129"/>
          </rPr>
          <t>원×</t>
        </r>
        <r>
          <rPr>
            <sz val="9"/>
            <color indexed="81"/>
            <rFont val="Tahoma"/>
            <family val="2"/>
          </rPr>
          <t>40</t>
        </r>
        <r>
          <rPr>
            <sz val="9"/>
            <color indexed="81"/>
            <rFont val="돋움"/>
            <family val="3"/>
            <charset val="129"/>
          </rPr>
          <t>명×</t>
        </r>
        <r>
          <rPr>
            <sz val="9"/>
            <color indexed="81"/>
            <rFont val="Tahoma"/>
            <family val="2"/>
          </rPr>
          <t>15</t>
        </r>
        <r>
          <rPr>
            <sz val="9"/>
            <color indexed="81"/>
            <rFont val="돋움"/>
            <family val="3"/>
            <charset val="129"/>
          </rPr>
          <t>일</t>
        </r>
        <r>
          <rPr>
            <sz val="9"/>
            <color indexed="81"/>
            <rFont val="Tahoma"/>
            <family val="2"/>
          </rPr>
          <t xml:space="preserve"> = 180,000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 xml:space="preserve">
 </t>
        </r>
        <r>
          <rPr>
            <sz val="9"/>
            <color indexed="81"/>
            <rFont val="돋움"/>
            <family val="3"/>
            <charset val="129"/>
          </rPr>
          <t>완코팅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장갑</t>
        </r>
        <r>
          <rPr>
            <sz val="9"/>
            <color indexed="81"/>
            <rFont val="Tahoma"/>
            <family val="2"/>
          </rPr>
          <t xml:space="preserve"> :  800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×40</t>
        </r>
        <r>
          <rPr>
            <sz val="9"/>
            <color indexed="81"/>
            <rFont val="돋움"/>
            <family val="3"/>
            <charset val="129"/>
          </rPr>
          <t>명×</t>
        </r>
        <r>
          <rPr>
            <sz val="9"/>
            <color indexed="81"/>
            <rFont val="Tahoma"/>
            <family val="2"/>
          </rPr>
          <t>30</t>
        </r>
        <r>
          <rPr>
            <sz val="9"/>
            <color indexed="81"/>
            <rFont val="돋움"/>
            <family val="3"/>
            <charset val="129"/>
          </rPr>
          <t>일</t>
        </r>
        <r>
          <rPr>
            <sz val="9"/>
            <color indexed="81"/>
            <rFont val="Tahoma"/>
            <family val="2"/>
          </rPr>
          <t xml:space="preserve"> = 960,000</t>
        </r>
        <r>
          <rPr>
            <sz val="9"/>
            <color indexed="81"/>
            <rFont val="돋움"/>
            <family val="3"/>
            <charset val="129"/>
          </rPr>
          <t>원</t>
        </r>
      </text>
    </comment>
    <comment ref="R89" authorId="3" shapeId="0" xr:uid="{E26C50BF-415D-4219-9DBB-BA338BEB6875}">
      <text>
        <r>
          <rPr>
            <b/>
            <sz val="9"/>
            <color indexed="81"/>
            <rFont val="Tahoma"/>
            <family val="2"/>
          </rPr>
          <t>lg:</t>
        </r>
        <r>
          <rPr>
            <sz val="9"/>
            <color indexed="81"/>
            <rFont val="Tahoma"/>
            <family val="2"/>
          </rPr>
          <t xml:space="preserve">
684-0915.0916.0917(3</t>
        </r>
        <r>
          <rPr>
            <sz val="9"/>
            <color indexed="81"/>
            <rFont val="돋움"/>
            <family val="3"/>
            <charset val="129"/>
          </rPr>
          <t>회선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인터넷</t>
        </r>
        <r>
          <rPr>
            <sz val="9"/>
            <color indexed="81"/>
            <rFont val="Tahoma"/>
            <family val="2"/>
          </rPr>
          <t xml:space="preserve"> 3</t>
        </r>
        <r>
          <rPr>
            <sz val="9"/>
            <color indexed="81"/>
            <rFont val="돋움"/>
            <family val="3"/>
            <charset val="129"/>
          </rPr>
          <t>회선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사무실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계근대</t>
        </r>
        <r>
          <rPr>
            <sz val="9"/>
            <color indexed="81"/>
            <rFont val="Tahoma"/>
            <family val="2"/>
          </rPr>
          <t>, TMS(</t>
        </r>
        <r>
          <rPr>
            <sz val="9"/>
            <color indexed="81"/>
            <rFont val="돋움"/>
            <family val="3"/>
            <charset val="129"/>
          </rPr>
          <t>전용</t>
        </r>
        <r>
          <rPr>
            <sz val="9"/>
            <color indexed="81"/>
            <rFont val="Tahoma"/>
            <family val="2"/>
          </rPr>
          <t>))</t>
        </r>
      </text>
    </comment>
    <comment ref="Q91" authorId="1" shapeId="0" xr:uid="{B1B59EB7-4DFF-4F6C-9C89-3297B173CCD7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전파사용료</t>
        </r>
        <r>
          <rPr>
            <sz val="9"/>
            <color indexed="81"/>
            <rFont val="Tahoma"/>
            <family val="2"/>
          </rPr>
          <t xml:space="preserve"> : 10,800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대</t>
        </r>
      </text>
    </comment>
    <comment ref="Q93" authorId="0" shapeId="0" xr:uid="{A89964C0-D301-43A4-85F3-E0433A5EBAB0}">
      <text>
        <r>
          <rPr>
            <b/>
            <sz val="9"/>
            <color indexed="81"/>
            <rFont val="Tahoma"/>
            <family val="2"/>
          </rPr>
          <t>23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205,000</t>
        </r>
        <r>
          <rPr>
            <b/>
            <sz val="9"/>
            <color indexed="81"/>
            <rFont val="돋움"/>
            <family val="3"/>
            <charset val="129"/>
          </rPr>
          <t xml:space="preserve">원
</t>
        </r>
        <r>
          <rPr>
            <b/>
            <sz val="9"/>
            <color indexed="81"/>
            <rFont val="Tahoma"/>
            <family val="2"/>
          </rPr>
          <t>24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300,000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</text>
    </comment>
    <comment ref="Q95" authorId="0" shapeId="0" xr:uid="{89446DDF-0F6A-4E19-BD72-3BC5B173FF1E}">
      <text>
        <r>
          <rPr>
            <b/>
            <sz val="9"/>
            <color indexed="81"/>
            <rFont val="돋움"/>
            <family val="3"/>
            <charset val="129"/>
          </rPr>
          <t>협회비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소방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위험물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보일러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에너지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Q98" authorId="1" shapeId="0" xr:uid="{8E4E45A0-AEB0-4EF3-930A-09442037076C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7,215,800(24</t>
        </r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>)</t>
        </r>
      </text>
    </comment>
    <comment ref="Q100" authorId="0" shapeId="0" xr:uid="{FC06BF3D-168C-4554-951E-45267353010D}">
      <text>
        <r>
          <rPr>
            <sz val="9"/>
            <color indexed="81"/>
            <rFont val="돋움"/>
            <family val="3"/>
            <charset val="129"/>
          </rPr>
          <t>소각재</t>
        </r>
        <r>
          <rPr>
            <sz val="9"/>
            <color indexed="81"/>
            <rFont val="Tahoma"/>
            <family val="2"/>
          </rPr>
          <t xml:space="preserve"> : </t>
        </r>
        <r>
          <rPr>
            <sz val="9"/>
            <color indexed="81"/>
            <rFont val="돋움"/>
            <family val="3"/>
            <charset val="129"/>
          </rPr>
          <t>안정화재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 xml:space="preserve">바닥재
</t>
        </r>
        <r>
          <rPr>
            <sz val="9"/>
            <color indexed="81"/>
            <rFont val="Tahoma"/>
            <family val="2"/>
          </rPr>
          <t>'24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안정화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돋움"/>
            <family val="3"/>
            <charset val="129"/>
          </rPr>
          <t>바닥재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월평균</t>
        </r>
        <r>
          <rPr>
            <sz val="9"/>
            <color indexed="81"/>
            <rFont val="Tahoma"/>
            <family val="2"/>
          </rPr>
          <t xml:space="preserve"> 600</t>
        </r>
        <r>
          <rPr>
            <sz val="9"/>
            <color indexed="81"/>
            <rFont val="돋움"/>
            <family val="3"/>
            <charset val="129"/>
          </rPr>
          <t xml:space="preserve">톤
</t>
        </r>
        <r>
          <rPr>
            <sz val="9"/>
            <color indexed="81"/>
            <rFont val="Tahoma"/>
            <family val="2"/>
          </rPr>
          <t>'24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예상량</t>
        </r>
        <r>
          <rPr>
            <sz val="9"/>
            <color indexed="81"/>
            <rFont val="Tahoma"/>
            <family val="2"/>
          </rPr>
          <t xml:space="preserve"> = 600</t>
        </r>
        <r>
          <rPr>
            <sz val="9"/>
            <color indexed="81"/>
            <rFont val="돋움"/>
            <family val="3"/>
            <charset val="129"/>
          </rPr>
          <t>톤</t>
        </r>
        <r>
          <rPr>
            <sz val="9"/>
            <color indexed="81"/>
            <rFont val="Tahoma"/>
            <family val="2"/>
          </rPr>
          <t>*12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= </t>
        </r>
        <r>
          <rPr>
            <sz val="9"/>
            <color indexed="81"/>
            <rFont val="돋움"/>
            <family val="3"/>
            <charset val="129"/>
          </rPr>
          <t>약</t>
        </r>
        <r>
          <rPr>
            <sz val="9"/>
            <color indexed="81"/>
            <rFont val="Tahoma"/>
            <family val="2"/>
          </rPr>
          <t xml:space="preserve"> 7.2</t>
        </r>
        <r>
          <rPr>
            <sz val="9"/>
            <color indexed="81"/>
            <rFont val="돋움"/>
            <family val="3"/>
            <charset val="129"/>
          </rPr>
          <t>천톤</t>
        </r>
        <r>
          <rPr>
            <sz val="9"/>
            <color indexed="81"/>
            <rFont val="Tahoma"/>
            <family val="2"/>
          </rPr>
          <t xml:space="preserve">            </t>
        </r>
      </text>
    </comment>
    <comment ref="S100" authorId="0" shapeId="0" xr:uid="{7253ACDE-1484-4392-9682-49C893ABB527}">
      <text>
        <r>
          <rPr>
            <sz val="9"/>
            <color indexed="81"/>
            <rFont val="Tahoma"/>
            <family val="2"/>
          </rPr>
          <t>2024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산정지수</t>
        </r>
        <r>
          <rPr>
            <sz val="9"/>
            <color indexed="81"/>
            <rFont val="Tahoma"/>
            <family val="2"/>
          </rPr>
          <t xml:space="preserve"> 1.168
</t>
        </r>
        <r>
          <rPr>
            <sz val="9"/>
            <color indexed="81"/>
            <rFont val="돋움"/>
            <family val="3"/>
            <charset val="129"/>
          </rPr>
          <t>예산적용</t>
        </r>
        <r>
          <rPr>
            <sz val="9"/>
            <color indexed="81"/>
            <rFont val="Tahoma"/>
            <family val="2"/>
          </rPr>
          <t xml:space="preserve"> 1.2</t>
        </r>
      </text>
    </comment>
    <comment ref="Q101" authorId="0" shapeId="0" xr:uid="{23E323A1-189B-423F-A367-B79299583F92}">
      <text>
        <r>
          <rPr>
            <sz val="9"/>
            <color indexed="81"/>
            <rFont val="Tahoma"/>
            <family val="2"/>
          </rPr>
          <t>'23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월평균</t>
        </r>
        <r>
          <rPr>
            <sz val="9"/>
            <color indexed="81"/>
            <rFont val="Tahoma"/>
            <family val="2"/>
          </rPr>
          <t xml:space="preserve"> 85</t>
        </r>
        <r>
          <rPr>
            <sz val="9"/>
            <color indexed="81"/>
            <rFont val="돋움"/>
            <family val="3"/>
            <charset val="129"/>
          </rPr>
          <t xml:space="preserve">톤
</t>
        </r>
        <r>
          <rPr>
            <sz val="9"/>
            <color indexed="81"/>
            <rFont val="Tahoma"/>
            <family val="2"/>
          </rPr>
          <t>'24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월평균</t>
        </r>
        <r>
          <rPr>
            <sz val="9"/>
            <color indexed="81"/>
            <rFont val="Tahoma"/>
            <family val="2"/>
          </rPr>
          <t xml:space="preserve"> 80</t>
        </r>
        <r>
          <rPr>
            <sz val="9"/>
            <color indexed="81"/>
            <rFont val="돋움"/>
            <family val="3"/>
            <charset val="129"/>
          </rPr>
          <t xml:space="preserve">톤
</t>
        </r>
        <r>
          <rPr>
            <sz val="9"/>
            <color indexed="81"/>
            <rFont val="Tahoma"/>
            <family val="2"/>
          </rPr>
          <t>'24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예상량</t>
        </r>
        <r>
          <rPr>
            <sz val="9"/>
            <color indexed="81"/>
            <rFont val="Tahoma"/>
            <family val="2"/>
          </rPr>
          <t xml:space="preserve"> 80</t>
        </r>
        <r>
          <rPr>
            <sz val="9"/>
            <color indexed="81"/>
            <rFont val="돋움"/>
            <family val="3"/>
            <charset val="129"/>
          </rPr>
          <t>톤</t>
        </r>
        <r>
          <rPr>
            <sz val="9"/>
            <color indexed="81"/>
            <rFont val="Tahoma"/>
            <family val="2"/>
          </rPr>
          <t>*12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= </t>
        </r>
        <r>
          <rPr>
            <sz val="9"/>
            <color indexed="81"/>
            <rFont val="돋움"/>
            <family val="3"/>
            <charset val="129"/>
          </rPr>
          <t>약</t>
        </r>
        <r>
          <rPr>
            <sz val="9"/>
            <color indexed="81"/>
            <rFont val="Tahoma"/>
            <family val="2"/>
          </rPr>
          <t xml:space="preserve"> 960</t>
        </r>
        <r>
          <rPr>
            <sz val="9"/>
            <color indexed="81"/>
            <rFont val="돋움"/>
            <family val="3"/>
            <charset val="129"/>
          </rPr>
          <t>톤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S101" authorId="0" shapeId="0" xr:uid="{87D1CF3A-8D82-47AD-9886-FB60BCB2D7FA}">
      <text>
        <r>
          <rPr>
            <sz val="9"/>
            <color indexed="81"/>
            <rFont val="Tahoma"/>
            <family val="2"/>
          </rPr>
          <t>2024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산정지수</t>
        </r>
        <r>
          <rPr>
            <sz val="9"/>
            <color indexed="81"/>
            <rFont val="Tahoma"/>
            <family val="2"/>
          </rPr>
          <t xml:space="preserve"> 1.168
</t>
        </r>
        <r>
          <rPr>
            <sz val="9"/>
            <color indexed="81"/>
            <rFont val="돋움"/>
            <family val="3"/>
            <charset val="129"/>
          </rPr>
          <t>예산적용</t>
        </r>
        <r>
          <rPr>
            <sz val="9"/>
            <color indexed="81"/>
            <rFont val="Tahoma"/>
            <family val="2"/>
          </rPr>
          <t xml:space="preserve"> 1.2</t>
        </r>
      </text>
    </comment>
    <comment ref="Q104" authorId="0" shapeId="0" xr:uid="{ED48B75B-0B1F-4C9B-ACBB-6083694C5426}">
      <text>
        <r>
          <rPr>
            <sz val="9"/>
            <color indexed="81"/>
            <rFont val="Tahoma"/>
            <family val="2"/>
          </rPr>
          <t>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보험료</t>
        </r>
        <r>
          <rPr>
            <sz val="9"/>
            <color indexed="81"/>
            <rFont val="Tahoma"/>
            <family val="2"/>
          </rPr>
          <t xml:space="preserve"> : 
</t>
        </r>
        <r>
          <rPr>
            <sz val="9"/>
            <color indexed="81"/>
            <rFont val="돋움"/>
            <family val="3"/>
            <charset val="129"/>
          </rPr>
          <t>지게차</t>
        </r>
        <r>
          <rPr>
            <sz val="9"/>
            <color indexed="81"/>
            <rFont val="Tahoma"/>
            <family val="2"/>
          </rPr>
          <t xml:space="preserve"> :  298,590</t>
        </r>
        <r>
          <rPr>
            <sz val="9"/>
            <color indexed="81"/>
            <rFont val="돋움"/>
            <family val="3"/>
            <charset val="129"/>
          </rPr>
          <t>원</t>
        </r>
      </text>
    </comment>
    <comment ref="Q107" authorId="0" shapeId="0" xr:uid="{3749035D-A20F-451B-B825-2BE4ED433F12}">
      <text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차량유지비</t>
        </r>
        <r>
          <rPr>
            <sz val="9"/>
            <color indexed="81"/>
            <rFont val="Tahoma"/>
            <family val="2"/>
          </rPr>
          <t xml:space="preserve"> : 300,000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
 </t>
        </r>
        <r>
          <rPr>
            <sz val="9"/>
            <color indexed="81"/>
            <rFont val="돋움"/>
            <family val="3"/>
            <charset val="129"/>
          </rPr>
          <t>소모품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세차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소모품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엔진오일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등</t>
        </r>
        <r>
          <rPr>
            <sz val="9"/>
            <color indexed="81"/>
            <rFont val="Tahoma"/>
            <family val="2"/>
          </rPr>
          <t xml:space="preserve">) : 
  </t>
        </r>
        <r>
          <rPr>
            <sz val="9"/>
            <color indexed="81"/>
            <rFont val="돋움"/>
            <family val="3"/>
            <charset val="129"/>
          </rPr>
          <t>엔진오일</t>
        </r>
        <r>
          <rPr>
            <sz val="9"/>
            <color indexed="81"/>
            <rFont val="Tahoma"/>
            <family val="2"/>
          </rPr>
          <t xml:space="preserve"> : 200,000(</t>
        </r>
        <r>
          <rPr>
            <sz val="9"/>
            <color indexed="81"/>
            <rFont val="돋움"/>
            <family val="3"/>
            <charset val="129"/>
          </rPr>
          <t>지게차</t>
        </r>
        <r>
          <rPr>
            <sz val="9"/>
            <color indexed="81"/>
            <rFont val="Tahoma"/>
            <family val="2"/>
          </rPr>
          <t xml:space="preserve"> 50,000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 xml:space="preserve">)
  </t>
        </r>
        <r>
          <rPr>
            <sz val="9"/>
            <color indexed="81"/>
            <rFont val="돋움"/>
            <family val="3"/>
            <charset val="129"/>
          </rPr>
          <t>소모품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수리비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등</t>
        </r>
        <r>
          <rPr>
            <sz val="9"/>
            <color indexed="81"/>
            <rFont val="Tahoma"/>
            <family val="2"/>
          </rPr>
          <t xml:space="preserve"> : 100,000</t>
        </r>
        <r>
          <rPr>
            <sz val="9"/>
            <color indexed="81"/>
            <rFont val="돋움"/>
            <family val="3"/>
            <charset val="129"/>
          </rPr>
          <t xml:space="preserve">원
</t>
        </r>
      </text>
    </comment>
    <comment ref="Q108" authorId="0" shapeId="0" xr:uid="{6665F2AF-6E8D-4ECC-9E5F-2EA8FC8CA7E5}">
      <text>
        <r>
          <rPr>
            <sz val="9"/>
            <color indexed="81"/>
            <rFont val="돋움"/>
            <family val="3"/>
            <charset val="129"/>
          </rPr>
          <t>경유</t>
        </r>
        <r>
          <rPr>
            <sz val="9"/>
            <color indexed="81"/>
            <rFont val="Tahoma"/>
            <family val="2"/>
          </rPr>
          <t xml:space="preserve"> : 1,700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리터</t>
        </r>
      </text>
    </comment>
    <comment ref="T108" authorId="0" shapeId="0" xr:uid="{824A75AC-751B-494A-80C0-5131F1A56B1F}">
      <text>
        <r>
          <rPr>
            <sz val="9"/>
            <color indexed="81"/>
            <rFont val="돋움"/>
            <family val="3"/>
            <charset val="129"/>
          </rPr>
          <t>암롤차의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주유량</t>
        </r>
        <r>
          <rPr>
            <sz val="9"/>
            <color indexed="81"/>
            <rFont val="Tahoma"/>
            <family val="2"/>
          </rPr>
          <t xml:space="preserve"> : </t>
        </r>
        <r>
          <rPr>
            <sz val="9"/>
            <color indexed="81"/>
            <rFont val="돋움"/>
            <family val="3"/>
            <charset val="129"/>
          </rPr>
          <t xml:space="preserve">
지게차</t>
        </r>
        <r>
          <rPr>
            <sz val="9"/>
            <color indexed="81"/>
            <rFont val="Tahoma"/>
            <family val="2"/>
          </rPr>
          <t xml:space="preserve"> = 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30L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>(360 = 30L * 12)</t>
        </r>
      </text>
    </comment>
    <comment ref="Q109" authorId="0" shapeId="0" xr:uid="{CF86C526-20BF-461F-934C-C9D9563CF86D}">
      <text>
        <r>
          <rPr>
            <sz val="9"/>
            <color indexed="81"/>
            <rFont val="돋움"/>
            <family val="3"/>
            <charset val="129"/>
          </rPr>
          <t>전기차 급속충전시 가격 
347.2원/kWh(2023년)
전기차(니로) 연비 : 5.3km/kwh
100km당 연료비 6,550원
1km 당 연료비 66원
연비적용 66원/km</t>
        </r>
      </text>
    </comment>
    <comment ref="T109" authorId="0" shapeId="0" xr:uid="{B9A30647-18A2-4FCA-BDE6-6FF4A67D0BD0}">
      <text>
        <r>
          <rPr>
            <sz val="9"/>
            <color indexed="81"/>
            <rFont val="돋움"/>
            <family val="3"/>
            <charset val="129"/>
          </rPr>
          <t>연간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운행예상거리</t>
        </r>
        <r>
          <rPr>
            <sz val="9"/>
            <color indexed="81"/>
            <rFont val="Tahoma"/>
            <family val="2"/>
          </rPr>
          <t xml:space="preserve"> 1.5</t>
        </r>
        <r>
          <rPr>
            <sz val="9"/>
            <color indexed="81"/>
            <rFont val="돋움"/>
            <family val="3"/>
            <charset val="129"/>
          </rPr>
          <t>만</t>
        </r>
        <r>
          <rPr>
            <sz val="9"/>
            <color indexed="81"/>
            <rFont val="Tahoma"/>
            <family val="2"/>
          </rPr>
          <t xml:space="preserve"> km
23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1,4000km </t>
        </r>
        <r>
          <rPr>
            <sz val="9"/>
            <color indexed="81"/>
            <rFont val="돋움"/>
            <family val="3"/>
            <charset val="129"/>
          </rPr>
          <t xml:space="preserve">운전
</t>
        </r>
        <r>
          <rPr>
            <sz val="9"/>
            <color indexed="81"/>
            <rFont val="Tahoma"/>
            <family val="2"/>
          </rPr>
          <t>25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1.5</t>
        </r>
        <r>
          <rPr>
            <sz val="9"/>
            <color indexed="81"/>
            <rFont val="돋움"/>
            <family val="3"/>
            <charset val="129"/>
          </rPr>
          <t>만</t>
        </r>
        <r>
          <rPr>
            <sz val="9"/>
            <color indexed="81"/>
            <rFont val="Tahoma"/>
            <family val="2"/>
          </rPr>
          <t xml:space="preserve">km </t>
        </r>
        <r>
          <rPr>
            <sz val="9"/>
            <color indexed="81"/>
            <rFont val="돋움"/>
            <family val="3"/>
            <charset val="129"/>
          </rPr>
          <t>적용</t>
        </r>
      </text>
    </comment>
    <comment ref="Q113" authorId="0" shapeId="0" xr:uid="{2B197E0E-3891-4A0F-B047-1B2DC1069FE8}">
      <text>
        <r>
          <rPr>
            <b/>
            <sz val="9"/>
            <color indexed="81"/>
            <rFont val="돋움"/>
            <family val="3"/>
            <charset val="129"/>
          </rPr>
          <t>관외여비</t>
        </r>
        <r>
          <rPr>
            <b/>
            <sz val="9"/>
            <color indexed="81"/>
            <rFont val="Tahoma"/>
            <family val="2"/>
          </rPr>
          <t xml:space="preserve"> 150,000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인</t>
        </r>
        <r>
          <rPr>
            <b/>
            <sz val="9"/>
            <color indexed="81"/>
            <rFont val="Tahoma"/>
            <family val="2"/>
          </rPr>
          <t>(1</t>
        </r>
        <r>
          <rPr>
            <b/>
            <sz val="9"/>
            <color indexed="81"/>
            <rFont val="돋움"/>
            <family val="3"/>
            <charset val="129"/>
          </rPr>
          <t>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R113" authorId="0" shapeId="0" xr:uid="{A5FA794B-2BB7-4919-A5DF-61E29B131B9D}">
      <text>
        <r>
          <rPr>
            <b/>
            <sz val="9"/>
            <color indexed="81"/>
            <rFont val="돋움"/>
            <family val="3"/>
            <charset val="129"/>
          </rPr>
          <t>벤치마킹</t>
        </r>
        <r>
          <rPr>
            <b/>
            <sz val="9"/>
            <color indexed="81"/>
            <rFont val="Tahoma"/>
            <family val="2"/>
          </rPr>
          <t xml:space="preserve"> : 30</t>
        </r>
        <r>
          <rPr>
            <b/>
            <sz val="9"/>
            <color indexed="81"/>
            <rFont val="돋움"/>
            <family val="3"/>
            <charset val="129"/>
          </rPr>
          <t>명
기타</t>
        </r>
        <r>
          <rPr>
            <b/>
            <sz val="9"/>
            <color indexed="81"/>
            <rFont val="Tahoma"/>
            <family val="2"/>
          </rPr>
          <t xml:space="preserve"> : 24</t>
        </r>
        <r>
          <rPr>
            <b/>
            <sz val="9"/>
            <color indexed="81"/>
            <rFont val="돋움"/>
            <family val="3"/>
            <charset val="129"/>
          </rPr>
          <t>명</t>
        </r>
      </text>
    </comment>
    <comment ref="Q121" authorId="3" shapeId="0" xr:uid="{362D77F0-DAB4-4D2B-97E7-B1D0B01D9BF6}">
      <text>
        <r>
          <rPr>
            <sz val="9"/>
            <color indexed="81"/>
            <rFont val="Tahoma"/>
            <family val="2"/>
          </rPr>
          <t>23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가격조사</t>
        </r>
        <r>
          <rPr>
            <sz val="9"/>
            <color indexed="81"/>
            <rFont val="Tahoma"/>
            <family val="2"/>
          </rPr>
          <t xml:space="preserve"> : </t>
        </r>
        <r>
          <rPr>
            <sz val="9"/>
            <color indexed="81"/>
            <rFont val="돋움"/>
            <family val="3"/>
            <charset val="129"/>
          </rPr>
          <t>최저</t>
        </r>
        <r>
          <rPr>
            <sz val="9"/>
            <color indexed="81"/>
            <rFont val="Tahoma"/>
            <family val="2"/>
          </rPr>
          <t xml:space="preserve"> 625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/kg
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520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/kg</t>
        </r>
      </text>
    </comment>
    <comment ref="R121" authorId="1" shapeId="0" xr:uid="{7927679E-3803-4030-91ED-D41C89885167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일평균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사용량</t>
        </r>
        <r>
          <rPr>
            <sz val="9"/>
            <color indexed="81"/>
            <rFont val="Tahoma"/>
            <family val="2"/>
          </rPr>
          <t xml:space="preserve"> : 313L</t>
        </r>
      </text>
    </comment>
    <comment ref="Q122" authorId="3" shapeId="0" xr:uid="{D0910B1A-9B7F-4ED1-838E-3B2909019571}">
      <text>
        <r>
          <rPr>
            <sz val="9"/>
            <color indexed="81"/>
            <rFont val="Tahoma"/>
            <family val="2"/>
          </rPr>
          <t xml:space="preserve">'23 </t>
        </r>
        <r>
          <rPr>
            <sz val="9"/>
            <color indexed="81"/>
            <rFont val="돋움"/>
            <family val="3"/>
            <charset val="129"/>
          </rPr>
          <t>가격조사</t>
        </r>
        <r>
          <rPr>
            <sz val="9"/>
            <color indexed="81"/>
            <rFont val="Tahoma"/>
            <family val="2"/>
          </rPr>
          <t xml:space="preserve"> : 78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/kg
24</t>
        </r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예상</t>
        </r>
        <r>
          <rPr>
            <sz val="9"/>
            <color indexed="81"/>
            <rFont val="Tahoma"/>
            <family val="2"/>
          </rPr>
          <t xml:space="preserve"> : 81.4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/kg</t>
        </r>
      </text>
    </comment>
    <comment ref="R122" authorId="0" shapeId="0" xr:uid="{D921864F-73D6-46B9-B535-D0935D81A8A4}">
      <text>
        <r>
          <rPr>
            <sz val="9"/>
            <color indexed="81"/>
            <rFont val="돋움"/>
            <family val="3"/>
            <charset val="129"/>
          </rPr>
          <t>24년도 일평균 사용량 : 5,625L</t>
        </r>
      </text>
    </comment>
    <comment ref="Q123" authorId="3" shapeId="0" xr:uid="{8A38EFC6-FC59-49A1-8028-89EB8CCB68C9}">
      <text>
        <r>
          <rPr>
            <b/>
            <sz val="9"/>
            <color indexed="81"/>
            <rFont val="Tahoma"/>
            <family val="2"/>
          </rPr>
          <t>23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가격조사</t>
        </r>
        <r>
          <rPr>
            <b/>
            <sz val="9"/>
            <color indexed="81"/>
            <rFont val="Tahoma"/>
            <family val="2"/>
          </rPr>
          <t xml:space="preserve"> : 2,500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>/kg
24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예상</t>
        </r>
        <r>
          <rPr>
            <b/>
            <sz val="9"/>
            <color indexed="81"/>
            <rFont val="Tahoma"/>
            <family val="2"/>
          </rPr>
          <t xml:space="preserve"> : 2,850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>/ kg</t>
        </r>
      </text>
    </comment>
    <comment ref="R123" authorId="0" shapeId="0" xr:uid="{AD7B8531-59C8-4A41-A2A0-B480ADD6646D}">
      <text>
        <r>
          <rPr>
            <sz val="9"/>
            <color indexed="81"/>
            <rFont val="돋움"/>
            <family val="3"/>
            <charset val="129"/>
          </rPr>
          <t>24년도 일평균 사용량 : 63kg</t>
        </r>
      </text>
    </comment>
    <comment ref="Q124" authorId="3" shapeId="0" xr:uid="{67457B75-B6D4-47F1-A13F-7A51C1EEA810}">
      <text>
        <r>
          <rPr>
            <sz val="9"/>
            <color indexed="81"/>
            <rFont val="Tahoma"/>
            <family val="2"/>
          </rPr>
          <t xml:space="preserve">'23 </t>
        </r>
        <r>
          <rPr>
            <sz val="9"/>
            <color indexed="81"/>
            <rFont val="돋움"/>
            <family val="3"/>
            <charset val="129"/>
          </rPr>
          <t>가격조사</t>
        </r>
        <r>
          <rPr>
            <sz val="9"/>
            <color indexed="81"/>
            <rFont val="Tahoma"/>
            <family val="2"/>
          </rPr>
          <t xml:space="preserve"> : 2,500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/kg
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예상</t>
        </r>
        <r>
          <rPr>
            <sz val="9"/>
            <color indexed="81"/>
            <rFont val="Tahoma"/>
            <family val="2"/>
          </rPr>
          <t xml:space="preserve"> : 2,800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/kg</t>
        </r>
      </text>
    </comment>
    <comment ref="R124" authorId="0" shapeId="0" xr:uid="{973F1C38-6E42-4E55-AEEB-4E869718EB95}">
      <text>
        <r>
          <rPr>
            <sz val="9"/>
            <color indexed="81"/>
            <rFont val="돋움"/>
            <family val="3"/>
            <charset val="129"/>
          </rPr>
          <t>소각 : 3L/일
바이오 :  4L/일
사용량 : 3 + 4 = 7L/day</t>
        </r>
      </text>
    </comment>
    <comment ref="Q125" authorId="1" shapeId="0" xr:uid="{D8772066-3565-4619-9B41-13F70330F60E}">
      <text>
        <r>
          <rPr>
            <sz val="9"/>
            <color indexed="81"/>
            <rFont val="Tahoma"/>
            <family val="2"/>
          </rPr>
          <t xml:space="preserve">'23 </t>
        </r>
        <r>
          <rPr>
            <sz val="9"/>
            <color indexed="81"/>
            <rFont val="돋움"/>
            <family val="3"/>
            <charset val="129"/>
          </rPr>
          <t>가격조사</t>
        </r>
        <r>
          <rPr>
            <sz val="9"/>
            <color indexed="81"/>
            <rFont val="Tahoma"/>
            <family val="2"/>
          </rPr>
          <t xml:space="preserve"> : 3,375</t>
        </r>
        <r>
          <rPr>
            <sz val="9"/>
            <color indexed="81"/>
            <rFont val="돋움"/>
            <family val="3"/>
            <charset val="129"/>
          </rPr>
          <t xml:space="preserve">원
</t>
        </r>
        <r>
          <rPr>
            <sz val="9"/>
            <color indexed="81"/>
            <rFont val="Tahoma"/>
            <family val="2"/>
          </rPr>
          <t>'24</t>
        </r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견적</t>
        </r>
        <r>
          <rPr>
            <sz val="9"/>
            <color indexed="81"/>
            <rFont val="Tahoma"/>
            <family val="2"/>
          </rPr>
          <t xml:space="preserve"> : 4,100</t>
        </r>
        <r>
          <rPr>
            <sz val="9"/>
            <color indexed="81"/>
            <rFont val="돋움"/>
            <family val="3"/>
            <charset val="129"/>
          </rPr>
          <t>원</t>
        </r>
      </text>
    </comment>
    <comment ref="R125" authorId="0" shapeId="0" xr:uid="{9DF8DE32-2C0A-4037-B41B-84A8A46D937E}">
      <text>
        <r>
          <rPr>
            <b/>
            <sz val="9"/>
            <color indexed="81"/>
            <rFont val="Tahoma"/>
            <family val="2"/>
          </rPr>
          <t>24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일평균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사용량</t>
        </r>
        <r>
          <rPr>
            <b/>
            <sz val="9"/>
            <color indexed="81"/>
            <rFont val="Tahoma"/>
            <family val="2"/>
          </rPr>
          <t xml:space="preserve"> : 3.5kg</t>
        </r>
      </text>
    </comment>
    <comment ref="Q126" authorId="1" shapeId="0" xr:uid="{7FEB0A19-38B8-47F1-B5F1-6AE8631C7736}">
      <text>
        <r>
          <rPr>
            <b/>
            <sz val="9"/>
            <color indexed="81"/>
            <rFont val="돋움"/>
            <family val="3"/>
            <charset val="129"/>
          </rPr>
          <t>22년 가격조사 : 3,500원/kg
24년도 견적 :  4,000원</t>
        </r>
      </text>
    </comment>
    <comment ref="R126" authorId="0" shapeId="0" xr:uid="{F5DA599A-30A2-4791-A42B-18ACCACB111D}">
      <text>
        <r>
          <rPr>
            <b/>
            <sz val="9"/>
            <color indexed="81"/>
            <rFont val="Tahoma"/>
            <family val="2"/>
          </rPr>
          <t>24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일평균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사용량</t>
        </r>
        <r>
          <rPr>
            <b/>
            <sz val="9"/>
            <color indexed="81"/>
            <rFont val="Tahoma"/>
            <family val="2"/>
          </rPr>
          <t xml:space="preserve"> : 3.5kg</t>
        </r>
      </text>
    </comment>
    <comment ref="Q127" authorId="1" shapeId="0" xr:uid="{C6F68A40-055C-42A8-835B-E91DB8562B72}">
      <text>
        <r>
          <rPr>
            <b/>
            <sz val="9"/>
            <color indexed="81"/>
            <rFont val="돋움"/>
            <family val="3"/>
            <charset val="129"/>
          </rPr>
          <t>23년 가격조사 : 5,000원/kg
24년 견적 적용 : 5,000원</t>
        </r>
      </text>
    </comment>
    <comment ref="R127" authorId="0" shapeId="0" xr:uid="{A600FEEA-944B-45CB-A96E-16C31EDBE8FE}">
      <text>
        <r>
          <rPr>
            <b/>
            <sz val="9"/>
            <color indexed="81"/>
            <rFont val="Tahoma"/>
            <family val="2"/>
          </rPr>
          <t>24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일평균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사용량</t>
        </r>
        <r>
          <rPr>
            <b/>
            <sz val="9"/>
            <color indexed="81"/>
            <rFont val="Tahoma"/>
            <family val="2"/>
          </rPr>
          <t xml:space="preserve"> : 1L</t>
        </r>
      </text>
    </comment>
    <comment ref="Q128" authorId="1" shapeId="0" xr:uid="{FCC88337-5062-4C84-A337-FAA68F7E7047}">
      <text>
        <r>
          <rPr>
            <b/>
            <sz val="9"/>
            <color indexed="81"/>
            <rFont val="돋움"/>
            <family val="3"/>
            <charset val="129"/>
          </rPr>
          <t>23년 가격조사 : 2,750원/kg
24년 견적 적용 1,800원/kg</t>
        </r>
      </text>
    </comment>
    <comment ref="R128" authorId="0" shapeId="0" xr:uid="{35C0BAA2-C59E-496B-9A5B-52C81CE4B5FD}">
      <text>
        <r>
          <rPr>
            <b/>
            <sz val="9"/>
            <color indexed="81"/>
            <rFont val="돋움"/>
            <family val="3"/>
            <charset val="129"/>
          </rPr>
          <t>24년도 일평균 사용량 : 168L</t>
        </r>
      </text>
    </comment>
    <comment ref="Q129" authorId="1" shapeId="0" xr:uid="{B1994BAC-A370-41A2-8F67-C26B7B0382F2}">
      <text>
        <r>
          <rPr>
            <b/>
            <sz val="9"/>
            <color indexed="81"/>
            <rFont val="돋움"/>
            <family val="3"/>
            <charset val="129"/>
          </rPr>
          <t>23년 가격조사 : 450원/kg
적용 : 470원</t>
        </r>
      </text>
    </comment>
    <comment ref="R129" authorId="3" shapeId="0" xr:uid="{74ECDBFD-59AC-4CEE-A493-133127B34FCC}">
      <text>
        <r>
          <rPr>
            <b/>
            <sz val="9"/>
            <color indexed="81"/>
            <rFont val="Tahoma"/>
            <family val="2"/>
          </rPr>
          <t>24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일평균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사용량</t>
        </r>
        <r>
          <rPr>
            <b/>
            <sz val="9"/>
            <color indexed="81"/>
            <rFont val="Tahoma"/>
            <family val="2"/>
          </rPr>
          <t xml:space="preserve"> : 190L</t>
        </r>
      </text>
    </comment>
    <comment ref="Q130" authorId="1" shapeId="0" xr:uid="{496E73FD-1422-4FA3-A8D8-21AEE4CB16EC}">
      <text>
        <r>
          <rPr>
            <b/>
            <sz val="9"/>
            <color indexed="81"/>
            <rFont val="돋움"/>
            <family val="3"/>
            <charset val="129"/>
          </rPr>
          <t>23년 가격조사 : 163원/kg
적용 : 188원</t>
        </r>
      </text>
    </comment>
    <comment ref="R130" authorId="0" shapeId="0" xr:uid="{2FBA5DC4-DD89-4686-9423-A0448533DA38}">
      <text>
        <r>
          <rPr>
            <b/>
            <sz val="9"/>
            <color indexed="81"/>
            <rFont val="돋움"/>
            <family val="3"/>
            <charset val="129"/>
          </rPr>
          <t>세정탑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폐수</t>
        </r>
        <r>
          <rPr>
            <b/>
            <sz val="9"/>
            <color indexed="81"/>
            <rFont val="Tahoma"/>
            <family val="2"/>
          </rPr>
          <t xml:space="preserve">) : 40 l/d
</t>
        </r>
        <r>
          <rPr>
            <b/>
            <sz val="9"/>
            <color indexed="81"/>
            <rFont val="돋움"/>
            <family val="3"/>
            <charset val="129"/>
          </rPr>
          <t>세정탑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바이오</t>
        </r>
        <r>
          <rPr>
            <b/>
            <sz val="9"/>
            <color indexed="81"/>
            <rFont val="Tahoma"/>
            <family val="2"/>
          </rPr>
          <t>) : 136.73l/d
40 +137 =177L/day(</t>
        </r>
        <r>
          <rPr>
            <b/>
            <sz val="9"/>
            <color indexed="81"/>
            <rFont val="돋움"/>
            <family val="3"/>
            <charset val="129"/>
          </rPr>
          <t>최대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설계량</t>
        </r>
        <r>
          <rPr>
            <b/>
            <sz val="9"/>
            <color indexed="81"/>
            <rFont val="Tahoma"/>
            <family val="2"/>
          </rPr>
          <t>)
24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: 60L(30%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Q131" authorId="3" shapeId="0" xr:uid="{94488457-9C4F-457E-8C63-F1BBAABEFB43}">
      <text>
        <r>
          <rPr>
            <b/>
            <sz val="9"/>
            <color indexed="81"/>
            <rFont val="Tahoma"/>
            <family val="2"/>
          </rPr>
          <t>lg:</t>
        </r>
        <r>
          <rPr>
            <sz val="9"/>
            <color indexed="81"/>
            <rFont val="Tahoma"/>
            <family val="2"/>
          </rPr>
          <t xml:space="preserve">
24 </t>
        </r>
        <r>
          <rPr>
            <sz val="9"/>
            <color indexed="81"/>
            <rFont val="돋움"/>
            <family val="3"/>
            <charset val="129"/>
          </rPr>
          <t>나라장터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종합쇼핑몰</t>
        </r>
        <r>
          <rPr>
            <sz val="9"/>
            <color indexed="81"/>
            <rFont val="Tahoma"/>
            <family val="2"/>
          </rPr>
          <t xml:space="preserve"> 3,366</t>
        </r>
        <r>
          <rPr>
            <sz val="9"/>
            <color indexed="81"/>
            <rFont val="돋움"/>
            <family val="3"/>
            <charset val="129"/>
          </rPr>
          <t xml:space="preserve">원
</t>
        </r>
        <r>
          <rPr>
            <sz val="9"/>
            <color indexed="81"/>
            <rFont val="Tahoma"/>
            <family val="2"/>
          </rPr>
          <t xml:space="preserve">24 </t>
        </r>
        <r>
          <rPr>
            <sz val="9"/>
            <color indexed="81"/>
            <rFont val="돋움"/>
            <family val="3"/>
            <charset val="129"/>
          </rPr>
          <t>적용</t>
        </r>
        <r>
          <rPr>
            <sz val="9"/>
            <color indexed="81"/>
            <rFont val="Tahoma"/>
            <family val="2"/>
          </rPr>
          <t xml:space="preserve"> : 3,500</t>
        </r>
        <r>
          <rPr>
            <sz val="9"/>
            <color indexed="81"/>
            <rFont val="돋움"/>
            <family val="3"/>
            <charset val="129"/>
          </rPr>
          <t>원</t>
        </r>
      </text>
    </comment>
    <comment ref="R131" authorId="1" shapeId="0" xr:uid="{6060144A-EDB5-4C1F-9F53-BA4A68FB90D6}">
      <text>
        <r>
          <rPr>
            <b/>
            <sz val="9"/>
            <color indexed="81"/>
            <rFont val="돋움"/>
            <family val="3"/>
            <charset val="129"/>
          </rPr>
          <t>임재윤:
응집제(바이오) :26,800
응집제(폐수) : 13,200
26,800 + 13,200 = 40,000 /360
24년도 적용 : 114L</t>
        </r>
      </text>
    </comment>
    <comment ref="Q132" authorId="1" shapeId="0" xr:uid="{839246B2-D46D-4259-953F-A20CB8A2A280}">
      <text>
        <r>
          <rPr>
            <sz val="9"/>
            <color indexed="81"/>
            <rFont val="Tahoma"/>
            <family val="2"/>
          </rPr>
          <t>'23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</t>
        </r>
        <r>
          <rPr>
            <sz val="9"/>
            <color indexed="81"/>
            <rFont val="Tahoma"/>
            <family val="2"/>
          </rPr>
          <t xml:space="preserve"> : 2,550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 xml:space="preserve">/KG
'24 </t>
        </r>
        <r>
          <rPr>
            <sz val="9"/>
            <color indexed="81"/>
            <rFont val="돋움"/>
            <family val="3"/>
            <charset val="129"/>
          </rPr>
          <t>적용</t>
        </r>
        <r>
          <rPr>
            <sz val="9"/>
            <color indexed="81"/>
            <rFont val="Tahoma"/>
            <family val="2"/>
          </rPr>
          <t xml:space="preserve"> : 3,200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 xml:space="preserve">/KG
</t>
        </r>
        <r>
          <rPr>
            <sz val="9"/>
            <color indexed="81"/>
            <rFont val="돋움"/>
            <family val="3"/>
            <charset val="129"/>
          </rPr>
          <t>가격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오른다고함</t>
        </r>
      </text>
    </comment>
    <comment ref="R132" authorId="1" shapeId="0" xr:uid="{C12B78C9-48C4-4BF8-9F7C-5EFA185CA830}">
      <text>
        <r>
          <rPr>
            <b/>
            <sz val="9"/>
            <color indexed="81"/>
            <rFont val="돋움"/>
            <family val="3"/>
            <charset val="129"/>
          </rPr>
          <t>24년도 일평균 사용량 : 9kg</t>
        </r>
      </text>
    </comment>
    <comment ref="Q133" authorId="2" shapeId="0" xr:uid="{08E0DC7A-4B41-4958-B696-5A5F6A3663A0}">
      <text>
        <r>
          <rPr>
            <b/>
            <sz val="9"/>
            <color indexed="81"/>
            <rFont val="Tahoma"/>
            <family val="2"/>
          </rPr>
          <t>'23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단가</t>
        </r>
        <r>
          <rPr>
            <b/>
            <sz val="9"/>
            <color indexed="81"/>
            <rFont val="Tahoma"/>
            <family val="2"/>
          </rPr>
          <t xml:space="preserve"> : 220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/KG
'24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: 275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/KG
</t>
        </r>
      </text>
    </comment>
    <comment ref="R133" authorId="3" shapeId="0" xr:uid="{C1332B5C-9566-4728-B4F5-66AE78F521B0}">
      <text>
        <r>
          <rPr>
            <b/>
            <sz val="9"/>
            <color indexed="81"/>
            <rFont val="돋움"/>
            <family val="3"/>
            <charset val="129"/>
          </rPr>
          <t>세정탑(폐수) : 40 l/d
세정탑(바이오) : 136.73l/d
40 +137 =177L/day(최대 설계량)
24년도 적용 : 60L(30% 적용)</t>
        </r>
      </text>
    </comment>
    <comment ref="Q134" authorId="2" shapeId="0" xr:uid="{8B7360C5-3F02-4D71-9701-678ED0358D09}">
      <text>
        <r>
          <rPr>
            <b/>
            <sz val="9"/>
            <color indexed="81"/>
            <rFont val="Tahoma"/>
            <family val="2"/>
          </rPr>
          <t>'23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단가</t>
        </r>
        <r>
          <rPr>
            <b/>
            <sz val="9"/>
            <color indexed="81"/>
            <rFont val="Tahoma"/>
            <family val="2"/>
          </rPr>
          <t xml:space="preserve"> : 2,750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/KG
'24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: 2,500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>/KG</t>
        </r>
      </text>
    </comment>
    <comment ref="R134" authorId="3" shapeId="0" xr:uid="{5B8BEA63-4CA7-44E0-B782-46E2C052475A}">
      <text>
        <r>
          <rPr>
            <b/>
            <sz val="9"/>
            <color indexed="81"/>
            <rFont val="돋움"/>
            <family val="3"/>
            <charset val="129"/>
          </rPr>
          <t>24년도 일평균 사용량 : 15kg</t>
        </r>
      </text>
    </comment>
    <comment ref="Q135" authorId="0" shapeId="0" xr:uid="{F73FF079-6509-482C-B681-DD684028A515}">
      <text>
        <r>
          <rPr>
            <b/>
            <sz val="9"/>
            <color indexed="81"/>
            <rFont val="Tahoma"/>
            <family val="2"/>
          </rPr>
          <t>23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가격조사</t>
        </r>
        <r>
          <rPr>
            <b/>
            <sz val="9"/>
            <color indexed="81"/>
            <rFont val="Tahoma"/>
            <family val="2"/>
          </rPr>
          <t xml:space="preserve"> : 688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/kg
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: 688</t>
        </r>
        <r>
          <rPr>
            <b/>
            <sz val="9"/>
            <color indexed="81"/>
            <rFont val="돋움"/>
            <family val="3"/>
            <charset val="129"/>
          </rPr>
          <t>원</t>
        </r>
      </text>
    </comment>
    <comment ref="R135" authorId="3" shapeId="0" xr:uid="{2BA85B92-B6C5-40C3-9B49-132CB383EF72}">
      <text>
        <r>
          <rPr>
            <sz val="9"/>
            <color indexed="81"/>
            <rFont val="돋움"/>
            <family val="3"/>
            <charset val="129"/>
          </rPr>
          <t>세정탑(폐수) : 6.7l/d
세정탑(바이오) : 37.49l/d
사용량 : 6.7 + 37.49 = 45l/day</t>
        </r>
      </text>
    </comment>
    <comment ref="Q136" authorId="0" shapeId="0" xr:uid="{BF196D4D-7DEC-4326-9531-F7A93D23252A}">
      <text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:400</t>
        </r>
        <r>
          <rPr>
            <b/>
            <sz val="9"/>
            <color indexed="81"/>
            <rFont val="돋움"/>
            <family val="3"/>
            <charset val="129"/>
          </rPr>
          <t>원</t>
        </r>
      </text>
    </comment>
    <comment ref="R136" authorId="1" shapeId="0" xr:uid="{6EBA9D04-4867-4FCF-A3FF-56AE93CDE15E}">
      <text>
        <r>
          <rPr>
            <b/>
            <sz val="9"/>
            <color indexed="81"/>
            <rFont val="돋움"/>
            <family val="3"/>
            <charset val="129"/>
          </rPr>
          <t>바이오 및 폐수처리시설 운영 관련 약품 test
염화제2철 등 : 4kg
살충제 : 1KG
하절기 : 5개월(6월~10월)</t>
        </r>
      </text>
    </comment>
    <comment ref="S136" authorId="1" shapeId="0" xr:uid="{7A0A70FE-87E2-43BC-BD5A-4A2C360F6BB6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하절기</t>
        </r>
        <r>
          <rPr>
            <sz val="9"/>
            <color indexed="81"/>
            <rFont val="Tahoma"/>
            <family val="2"/>
          </rPr>
          <t xml:space="preserve"> : 5</t>
        </r>
        <r>
          <rPr>
            <sz val="9"/>
            <color indexed="81"/>
            <rFont val="돋움"/>
            <family val="3"/>
            <charset val="129"/>
          </rPr>
          <t>개월</t>
        </r>
        <r>
          <rPr>
            <sz val="9"/>
            <color indexed="81"/>
            <rFont val="Tahoma"/>
            <family val="2"/>
          </rPr>
          <t>(150</t>
        </r>
        <r>
          <rPr>
            <sz val="9"/>
            <color indexed="81"/>
            <rFont val="돋움"/>
            <family val="3"/>
            <charset val="129"/>
          </rPr>
          <t>일</t>
        </r>
        <r>
          <rPr>
            <sz val="9"/>
            <color indexed="81"/>
            <rFont val="Tahoma"/>
            <family val="2"/>
          </rPr>
          <t xml:space="preserve">)
</t>
        </r>
      </text>
    </comment>
    <comment ref="R140" authorId="1" shapeId="0" xr:uid="{88965939-7DAB-4C03-926D-90002BA8B8D2}">
      <text>
        <r>
          <rPr>
            <b/>
            <sz val="9"/>
            <color indexed="81"/>
            <rFont val="돋움"/>
            <family val="3"/>
            <charset val="129"/>
          </rPr>
          <t>6종 : Total Alkalinity, Nitrogen Ammonia HR, COD UHR, Nitrogen total,Volatile Acids, TOC HR TNT RGT</t>
        </r>
      </text>
    </comment>
    <comment ref="N148" authorId="1" shapeId="0" xr:uid="{B3882C80-5EAE-4075-8A94-69869FFFE983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소각시설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설치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운영지침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해설서</t>
        </r>
        <r>
          <rPr>
            <sz val="9"/>
            <color indexed="81"/>
            <rFont val="Tahoma"/>
            <family val="2"/>
          </rPr>
          <t>(201210</t>
        </r>
        <r>
          <rPr>
            <sz val="9"/>
            <color indexed="81"/>
            <rFont val="돋움"/>
            <family val="3"/>
            <charset val="129"/>
          </rPr>
          <t>최종본</t>
        </r>
        <r>
          <rPr>
            <sz val="9"/>
            <color indexed="81"/>
            <rFont val="Tahoma"/>
            <family val="2"/>
          </rPr>
          <t xml:space="preserve">) </t>
        </r>
        <r>
          <rPr>
            <sz val="9"/>
            <color indexed="81"/>
            <rFont val="돋움"/>
            <family val="3"/>
            <charset val="129"/>
          </rPr>
          <t>참조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화격자는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점검을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통하여</t>
        </r>
        <r>
          <rPr>
            <sz val="9"/>
            <color indexed="81"/>
            <rFont val="Tahoma"/>
            <family val="2"/>
          </rPr>
          <t xml:space="preserve"> 3</t>
        </r>
        <r>
          <rPr>
            <sz val="9"/>
            <color indexed="81"/>
            <rFont val="돋움"/>
            <family val="3"/>
            <charset val="129"/>
          </rPr>
          <t>～</t>
        </r>
        <r>
          <rPr>
            <sz val="9"/>
            <color indexed="81"/>
            <rFont val="Tahoma"/>
            <family val="2"/>
          </rPr>
          <t>4</t>
        </r>
        <r>
          <rPr>
            <sz val="9"/>
            <color indexed="81"/>
            <rFont val="돋움"/>
            <family val="3"/>
            <charset val="129"/>
          </rPr>
          <t>년부터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부분교체를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실시</t>
        </r>
      </text>
    </comment>
    <comment ref="Q148" authorId="1" shapeId="0" xr:uid="{2230191F-74D8-4CC9-A026-AA565E765755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
24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견적가</t>
        </r>
        <r>
          <rPr>
            <b/>
            <sz val="9"/>
            <color indexed="81"/>
            <rFont val="Tahoma"/>
            <family val="2"/>
          </rPr>
          <t xml:space="preserve"> : 295,783,400</t>
        </r>
        <r>
          <rPr>
            <b/>
            <sz val="9"/>
            <color indexed="81"/>
            <rFont val="돋움"/>
            <family val="3"/>
            <charset val="129"/>
          </rPr>
          <t>원</t>
        </r>
      </text>
    </comment>
    <comment ref="N149" authorId="1" shapeId="0" xr:uid="{96BDAEA1-AB35-4A3D-B823-CC83FFC0863C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 xml:space="preserve">:
</t>
        </r>
        <r>
          <rPr>
            <sz val="9"/>
            <color indexed="81"/>
            <rFont val="돋움"/>
            <family val="3"/>
            <charset val="129"/>
          </rPr>
          <t>촉매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사양
</t>
        </r>
        <r>
          <rPr>
            <sz val="9"/>
            <color indexed="81"/>
            <rFont val="Tahoma"/>
            <family val="2"/>
          </rPr>
          <t xml:space="preserve">1) </t>
        </r>
        <r>
          <rPr>
            <sz val="9"/>
            <color indexed="81"/>
            <rFont val="돋움"/>
            <family val="3"/>
            <charset val="129"/>
          </rPr>
          <t>형식</t>
        </r>
        <r>
          <rPr>
            <sz val="9"/>
            <color indexed="81"/>
            <rFont val="Tahoma"/>
            <family val="2"/>
          </rPr>
          <t xml:space="preserve"> : Honeycomb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 xml:space="preserve">2) </t>
        </r>
        <r>
          <rPr>
            <sz val="9"/>
            <color indexed="81"/>
            <rFont val="돋움"/>
            <family val="3"/>
            <charset val="129"/>
          </rPr>
          <t>조성</t>
        </r>
        <r>
          <rPr>
            <sz val="9"/>
            <color indexed="81"/>
            <rFont val="Tahoma"/>
            <family val="2"/>
          </rPr>
          <t xml:space="preserve"> : V2O5-WO3-TiO2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 xml:space="preserve">3) </t>
        </r>
        <r>
          <rPr>
            <sz val="9"/>
            <color indexed="81"/>
            <rFont val="돋움"/>
            <family val="3"/>
            <charset val="129"/>
          </rPr>
          <t>촉매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모듈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</t>
        </r>
        <r>
          <rPr>
            <sz val="9"/>
            <color indexed="81"/>
            <rFont val="Tahoma"/>
            <family val="2"/>
          </rPr>
          <t xml:space="preserve"> : 16
4) Module </t>
        </r>
        <r>
          <rPr>
            <sz val="9"/>
            <color indexed="81"/>
            <rFont val="돋움"/>
            <family val="3"/>
            <charset val="129"/>
          </rPr>
          <t>규격</t>
        </r>
        <r>
          <rPr>
            <sz val="9"/>
            <color indexed="81"/>
            <rFont val="Tahoma"/>
            <family val="2"/>
          </rPr>
          <t xml:space="preserve">(1EA </t>
        </r>
        <r>
          <rPr>
            <sz val="9"/>
            <color indexed="81"/>
            <rFont val="돋움"/>
            <family val="3"/>
            <charset val="129"/>
          </rPr>
          <t>기준</t>
        </r>
        <r>
          <rPr>
            <sz val="9"/>
            <color indexed="81"/>
            <rFont val="Tahoma"/>
            <family val="2"/>
          </rPr>
          <t xml:space="preserve">) : 1300W x 855L x 1085H 
5) </t>
        </r>
        <r>
          <rPr>
            <sz val="9"/>
            <color indexed="81"/>
            <rFont val="돋움"/>
            <family val="3"/>
            <charset val="129"/>
          </rPr>
          <t>촉매블록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규격</t>
        </r>
        <r>
          <rPr>
            <sz val="9"/>
            <color indexed="81"/>
            <rFont val="Tahoma"/>
            <family val="2"/>
          </rPr>
          <t xml:space="preserve"> : 150W x 150L x 835H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 xml:space="preserve">6) </t>
        </r>
        <r>
          <rPr>
            <sz val="9"/>
            <color indexed="81"/>
            <rFont val="돋움"/>
            <family val="3"/>
            <charset val="129"/>
          </rPr>
          <t>모듈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당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촉매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블록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</t>
        </r>
        <r>
          <rPr>
            <sz val="9"/>
            <color indexed="81"/>
            <rFont val="Tahoma"/>
            <family val="2"/>
          </rPr>
          <t xml:space="preserve"> : 40 (8 x 5)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 xml:space="preserve">7) </t>
        </r>
        <r>
          <rPr>
            <sz val="9"/>
            <color indexed="81"/>
            <rFont val="돋움"/>
            <family val="3"/>
            <charset val="129"/>
          </rPr>
          <t>초기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촉매부피</t>
        </r>
        <r>
          <rPr>
            <sz val="9"/>
            <color indexed="81"/>
            <rFont val="Tahoma"/>
            <family val="2"/>
          </rPr>
          <t xml:space="preserve"> : 12 </t>
        </r>
        <r>
          <rPr>
            <sz val="9"/>
            <color indexed="81"/>
            <rFont val="돋움"/>
            <family val="3"/>
            <charset val="129"/>
          </rPr>
          <t>㎥</t>
        </r>
        <r>
          <rPr>
            <sz val="9"/>
            <color indexed="81"/>
            <rFont val="Tahoma"/>
            <family val="2"/>
          </rPr>
          <t xml:space="preserve"> ( 2 Layer Volume)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 xml:space="preserve">8) </t>
        </r>
        <r>
          <rPr>
            <sz val="9"/>
            <color indexed="81"/>
            <rFont val="돋움"/>
            <family val="3"/>
            <charset val="129"/>
          </rPr>
          <t>최적온도</t>
        </r>
        <r>
          <rPr>
            <sz val="9"/>
            <color indexed="81"/>
            <rFont val="Tahoma"/>
            <family val="2"/>
          </rPr>
          <t xml:space="preserve"> : 185</t>
        </r>
        <r>
          <rPr>
            <sz val="9"/>
            <color indexed="81"/>
            <rFont val="돋움"/>
            <family val="3"/>
            <charset val="129"/>
          </rPr>
          <t>℃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이상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 xml:space="preserve">9) </t>
        </r>
        <r>
          <rPr>
            <sz val="9"/>
            <color indexed="81"/>
            <rFont val="돋움"/>
            <family val="3"/>
            <charset val="129"/>
          </rPr>
          <t>프레임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재질</t>
        </r>
        <r>
          <rPr>
            <sz val="9"/>
            <color indexed="81"/>
            <rFont val="Tahoma"/>
            <family val="2"/>
          </rPr>
          <t xml:space="preserve"> : SS275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 xml:space="preserve">10) </t>
        </r>
        <r>
          <rPr>
            <sz val="9"/>
            <color indexed="81"/>
            <rFont val="돋움"/>
            <family val="3"/>
            <charset val="129"/>
          </rPr>
          <t>보증시간</t>
        </r>
        <r>
          <rPr>
            <sz val="9"/>
            <color indexed="81"/>
            <rFont val="Tahoma"/>
            <family val="2"/>
          </rPr>
          <t xml:space="preserve"> : 24,000hr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49" authorId="1" shapeId="0" xr:uid="{FFA903D2-1824-45A7-94E0-BE751811E28C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견적</t>
        </r>
        <r>
          <rPr>
            <sz val="9"/>
            <color indexed="81"/>
            <rFont val="Tahoma"/>
            <family val="2"/>
          </rPr>
          <t xml:space="preserve"> :
215,600,000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(A)
220,000,000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 xml:space="preserve">(B) </t>
        </r>
      </text>
    </comment>
    <comment ref="Q151" authorId="0" shapeId="0" xr:uid="{3D117130-57C3-4912-9463-CFB40DCC32C3}">
      <text>
        <r>
          <rPr>
            <b/>
            <sz val="9"/>
            <color indexed="81"/>
            <rFont val="Tahoma"/>
            <family val="2"/>
          </rPr>
          <t>2024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가격조사</t>
        </r>
        <r>
          <rPr>
            <b/>
            <sz val="9"/>
            <color indexed="81"/>
            <rFont val="Tahoma"/>
            <family val="2"/>
          </rPr>
          <t xml:space="preserve"> : 46,000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 xml:space="preserve">톤
</t>
        </r>
      </text>
    </comment>
    <comment ref="S151" authorId="0" shapeId="0" xr:uid="{16E49C37-BAFF-4E46-AC04-A0C56AD41645}">
      <text>
        <r>
          <rPr>
            <sz val="9"/>
            <color indexed="81"/>
            <rFont val="Tahoma"/>
            <family val="2"/>
          </rPr>
          <t>'23</t>
        </r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폐기물배출량</t>
        </r>
        <r>
          <rPr>
            <sz val="9"/>
            <color indexed="81"/>
            <rFont val="Tahoma"/>
            <family val="2"/>
          </rPr>
          <t xml:space="preserve">  : 8,238</t>
        </r>
        <r>
          <rPr>
            <sz val="9"/>
            <color indexed="81"/>
            <rFont val="돋움"/>
            <family val="3"/>
            <charset val="129"/>
          </rPr>
          <t xml:space="preserve">톤
</t>
        </r>
        <r>
          <rPr>
            <sz val="9"/>
            <color indexed="81"/>
            <rFont val="Tahoma"/>
            <family val="2"/>
          </rPr>
          <t>'24</t>
        </r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운반비</t>
        </r>
        <r>
          <rPr>
            <sz val="9"/>
            <color indexed="81"/>
            <rFont val="Tahoma"/>
            <family val="2"/>
          </rPr>
          <t xml:space="preserve">  :  44,000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톤</t>
        </r>
      </text>
    </comment>
    <comment ref="R154" authorId="1" shapeId="0" xr:uid="{179DF3F8-77B5-4677-9F4F-1551E938D212}">
      <text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>'23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사용량</t>
        </r>
        <r>
          <rPr>
            <sz val="9"/>
            <color indexed="81"/>
            <rFont val="Tahoma"/>
            <family val="2"/>
          </rPr>
          <t xml:space="preserve">  : 56,028</t>
        </r>
        <r>
          <rPr>
            <sz val="9"/>
            <color indexed="81"/>
            <rFont val="돋움"/>
            <family val="3"/>
            <charset val="129"/>
          </rPr>
          <t>톤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평균</t>
        </r>
        <r>
          <rPr>
            <sz val="9"/>
            <color indexed="81"/>
            <rFont val="Tahoma"/>
            <family val="2"/>
          </rPr>
          <t xml:space="preserve"> : 4,669</t>
        </r>
        <r>
          <rPr>
            <sz val="9"/>
            <color indexed="81"/>
            <rFont val="돋움"/>
            <family val="3"/>
            <charset val="129"/>
          </rPr>
          <t>톤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>) 
'24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사용량</t>
        </r>
        <r>
          <rPr>
            <sz val="9"/>
            <color indexed="81"/>
            <rFont val="Tahoma"/>
            <family val="2"/>
          </rPr>
          <t>(1~6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>) : 34,224(</t>
        </r>
        <r>
          <rPr>
            <sz val="9"/>
            <color indexed="81"/>
            <rFont val="돋움"/>
            <family val="3"/>
            <charset val="129"/>
          </rPr>
          <t>평균</t>
        </r>
        <r>
          <rPr>
            <sz val="9"/>
            <color indexed="81"/>
            <rFont val="Tahoma"/>
            <family val="2"/>
          </rPr>
          <t xml:space="preserve"> : 5,704</t>
        </r>
        <r>
          <rPr>
            <sz val="9"/>
            <color indexed="81"/>
            <rFont val="돋움"/>
            <family val="3"/>
            <charset val="129"/>
          </rPr>
          <t>톤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>)
'25</t>
        </r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예상치</t>
        </r>
        <r>
          <rPr>
            <sz val="9"/>
            <color indexed="81"/>
            <rFont val="Tahoma"/>
            <family val="2"/>
          </rPr>
          <t xml:space="preserve"> :  5,500</t>
        </r>
        <r>
          <rPr>
            <sz val="9"/>
            <color indexed="81"/>
            <rFont val="돋움"/>
            <family val="3"/>
            <charset val="129"/>
          </rPr>
          <t>톤</t>
        </r>
        <r>
          <rPr>
            <sz val="9"/>
            <color indexed="81"/>
            <rFont val="Tahoma"/>
            <family val="2"/>
          </rPr>
          <t xml:space="preserve"> * (</t>
        </r>
        <r>
          <rPr>
            <sz val="9"/>
            <color indexed="81"/>
            <rFont val="돋움"/>
            <family val="3"/>
            <charset val="129"/>
          </rPr>
          <t>여유율</t>
        </r>
        <r>
          <rPr>
            <sz val="9"/>
            <color indexed="81"/>
            <rFont val="Tahoma"/>
            <family val="2"/>
          </rPr>
          <t xml:space="preserve"> 10%)</t>
        </r>
      </text>
    </comment>
    <comment ref="R155" authorId="3" shapeId="0" xr:uid="{ACD194FD-8DF0-4D71-8C1A-CBB409F51D69}">
      <text>
        <r>
          <rPr>
            <b/>
            <sz val="9"/>
            <color indexed="81"/>
            <rFont val="Tahoma"/>
            <family val="2"/>
          </rPr>
          <t>lg:
'23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단가</t>
        </r>
        <r>
          <rPr>
            <b/>
            <sz val="9"/>
            <color indexed="81"/>
            <rFont val="Tahoma"/>
            <family val="2"/>
          </rPr>
          <t xml:space="preserve">  :  407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 xml:space="preserve">
'23</t>
        </r>
        <r>
          <rPr>
            <sz val="9"/>
            <color indexed="81"/>
            <rFont val="돋움"/>
            <family val="3"/>
            <charset val="129"/>
          </rPr>
          <t>년도사용량</t>
        </r>
        <r>
          <rPr>
            <sz val="9"/>
            <color indexed="81"/>
            <rFont val="Tahoma"/>
            <family val="2"/>
          </rPr>
          <t xml:space="preserve"> :  58,760</t>
        </r>
        <r>
          <rPr>
            <sz val="9"/>
            <color indexed="81"/>
            <rFont val="돋움"/>
            <family val="3"/>
            <charset val="129"/>
          </rPr>
          <t>톤</t>
        </r>
        <r>
          <rPr>
            <sz val="9"/>
            <color indexed="81"/>
            <rFont val="Tahoma"/>
            <family val="2"/>
          </rPr>
          <t>/12 = 4,897</t>
        </r>
        <r>
          <rPr>
            <sz val="9"/>
            <color indexed="81"/>
            <rFont val="돋움"/>
            <family val="3"/>
            <charset val="129"/>
          </rPr>
          <t>톤</t>
        </r>
        <r>
          <rPr>
            <sz val="9"/>
            <color indexed="81"/>
            <rFont val="Tahoma"/>
            <family val="2"/>
          </rPr>
          <t xml:space="preserve">
'24</t>
        </r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예상치</t>
        </r>
        <r>
          <rPr>
            <sz val="9"/>
            <color indexed="81"/>
            <rFont val="Tahoma"/>
            <family val="2"/>
          </rPr>
          <t xml:space="preserve"> 5,500</t>
        </r>
        <r>
          <rPr>
            <sz val="9"/>
            <color indexed="81"/>
            <rFont val="돋움"/>
            <family val="3"/>
            <charset val="129"/>
          </rPr>
          <t>톤</t>
        </r>
        <r>
          <rPr>
            <sz val="9"/>
            <color indexed="81"/>
            <rFont val="Tahoma"/>
            <family val="2"/>
          </rPr>
          <t xml:space="preserve">
'23</t>
        </r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</t>
        </r>
        <r>
          <rPr>
            <sz val="9"/>
            <color indexed="81"/>
            <rFont val="Tahoma"/>
            <family val="2"/>
          </rPr>
          <t xml:space="preserve">  :  404</t>
        </r>
        <r>
          <rPr>
            <sz val="9"/>
            <color indexed="81"/>
            <rFont val="돋움"/>
            <family val="3"/>
            <charset val="129"/>
          </rPr>
          <t>원</t>
        </r>
      </text>
    </comment>
    <comment ref="Q156" authorId="0" shapeId="0" xr:uid="{DC5DDC0A-8FF7-4081-B405-08C4171C53A0}">
      <text>
        <r>
          <rPr>
            <b/>
            <sz val="9"/>
            <color indexed="81"/>
            <rFont val="돋움"/>
            <family val="3"/>
            <charset val="129"/>
          </rPr>
          <t>전기요금인상폭</t>
        </r>
        <r>
          <rPr>
            <b/>
            <sz val="9"/>
            <color indexed="81"/>
            <rFont val="Tahoma"/>
            <family val="2"/>
          </rPr>
          <t xml:space="preserve"> 4.3%
</t>
        </r>
      </text>
    </comment>
    <comment ref="R156" authorId="3" shapeId="0" xr:uid="{AE8606CE-106F-4339-9F6B-42184FAEF4A8}">
      <text>
        <r>
          <rPr>
            <sz val="9"/>
            <color indexed="81"/>
            <rFont val="Tahoma"/>
            <family val="2"/>
          </rPr>
          <t xml:space="preserve">
'24. 6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사용량</t>
        </r>
        <r>
          <rPr>
            <sz val="9"/>
            <color indexed="81"/>
            <rFont val="Tahoma"/>
            <family val="2"/>
          </rPr>
          <t xml:space="preserve"> : 379,215kwh
 </t>
        </r>
        <r>
          <rPr>
            <b/>
            <sz val="9"/>
            <color indexed="81"/>
            <rFont val="돋움"/>
            <family val="3"/>
            <charset val="129"/>
          </rPr>
          <t>하반기</t>
        </r>
        <r>
          <rPr>
            <b/>
            <sz val="9"/>
            <color indexed="81"/>
            <rFont val="Tahoma"/>
            <family val="2"/>
          </rPr>
          <t xml:space="preserve"> RTO</t>
        </r>
        <r>
          <rPr>
            <b/>
            <sz val="9"/>
            <color indexed="81"/>
            <rFont val="돋움"/>
            <family val="3"/>
            <charset val="129"/>
          </rPr>
          <t>설비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설치포함</t>
        </r>
        <r>
          <rPr>
            <b/>
            <sz val="9"/>
            <color indexed="81"/>
            <rFont val="Tahoma"/>
            <family val="2"/>
          </rPr>
          <t xml:space="preserve"> : 380,000kwh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sz val="9"/>
            <color indexed="81"/>
            <rFont val="Tahoma"/>
            <family val="2"/>
          </rPr>
          <t xml:space="preserve">
'24.1~6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현재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</t>
        </r>
        <r>
          <rPr>
            <sz val="9"/>
            <color indexed="81"/>
            <rFont val="Tahoma"/>
            <family val="2"/>
          </rPr>
          <t xml:space="preserve"> : 157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 xml:space="preserve">
25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전력</t>
        </r>
        <r>
          <rPr>
            <sz val="9"/>
            <color indexed="81"/>
            <rFont val="Tahoma"/>
            <family val="2"/>
          </rPr>
          <t xml:space="preserve"> : '23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평균사용량</t>
        </r>
        <r>
          <rPr>
            <sz val="9"/>
            <color indexed="81"/>
            <rFont val="Tahoma"/>
            <family val="2"/>
          </rPr>
          <t>*160*12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>*</t>
        </r>
        <r>
          <rPr>
            <sz val="9"/>
            <color indexed="81"/>
            <rFont val="돋움"/>
            <family val="3"/>
            <charset val="129"/>
          </rPr>
          <t>여유율</t>
        </r>
        <r>
          <rPr>
            <sz val="9"/>
            <color indexed="81"/>
            <rFont val="Tahoma"/>
            <family val="2"/>
          </rPr>
          <t>10% 
                 = 400,000 * 160 * 12 * 1.1</t>
        </r>
        <r>
          <rPr>
            <sz val="9"/>
            <color indexed="81"/>
            <rFont val="돋움"/>
            <family val="3"/>
            <charset val="129"/>
          </rPr>
          <t xml:space="preserve">
적용단가</t>
        </r>
        <r>
          <rPr>
            <sz val="9"/>
            <color indexed="81"/>
            <rFont val="Tahoma"/>
            <family val="2"/>
          </rPr>
          <t xml:space="preserve"> : 160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58" authorId="3" shapeId="0" xr:uid="{A3CAC492-AAEA-448D-BD58-CF06C9FEC571}">
      <text>
        <r>
          <rPr>
            <sz val="9"/>
            <color indexed="81"/>
            <rFont val="Tahoma"/>
            <family val="2"/>
          </rPr>
          <t>'24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7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전남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평균단가
경유</t>
        </r>
        <r>
          <rPr>
            <sz val="9"/>
            <color indexed="81"/>
            <rFont val="Tahoma"/>
            <family val="2"/>
          </rPr>
          <t xml:space="preserve"> : 1,549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리터</t>
        </r>
      </text>
    </comment>
    <comment ref="N169" authorId="1" shapeId="0" xr:uid="{DC0A38E0-AF26-4475-AE30-29D9F07101BE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허가조건</t>
        </r>
        <r>
          <rPr>
            <sz val="9"/>
            <color indexed="81"/>
            <rFont val="Tahoma"/>
            <family val="2"/>
          </rPr>
          <t xml:space="preserve">(3-1-11)
 </t>
        </r>
        <r>
          <rPr>
            <sz val="9"/>
            <color indexed="81"/>
            <rFont val="돋움"/>
            <family val="3"/>
            <charset val="129"/>
          </rPr>
          <t>사업장에서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발생하는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폐수는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폐수처리시설에서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처리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산단내월내공공폐수처리시설로
연계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처리하고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있으나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일부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수질오염물질</t>
        </r>
        <r>
          <rPr>
            <sz val="9"/>
            <color indexed="81"/>
            <rFont val="Tahoma"/>
            <family val="2"/>
          </rPr>
          <t>(T-N)</t>
        </r>
        <r>
          <rPr>
            <sz val="9"/>
            <color indexed="81"/>
            <rFont val="돋움"/>
            <family val="3"/>
            <charset val="129"/>
          </rPr>
          <t>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배출허용기준</t>
        </r>
        <r>
          <rPr>
            <sz val="9"/>
            <color indexed="81"/>
            <rFont val="Tahoma"/>
            <family val="2"/>
          </rPr>
          <t>(120</t>
        </r>
        <r>
          <rPr>
            <sz val="9"/>
            <color indexed="81"/>
            <rFont val="돋움"/>
            <family val="3"/>
            <charset val="129"/>
          </rPr>
          <t>㎎</t>
        </r>
        <r>
          <rPr>
            <sz val="9"/>
            <color indexed="81"/>
            <rFont val="Tahoma"/>
            <family val="2"/>
          </rPr>
          <t>/L)</t>
        </r>
        <r>
          <rPr>
            <sz val="9"/>
            <color indexed="81"/>
            <rFont val="돋움"/>
            <family val="3"/>
            <charset val="129"/>
          </rPr>
          <t>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초과하고
있으므로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배출허용기준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이내로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처리할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저감시설을</t>
        </r>
        <r>
          <rPr>
            <sz val="9"/>
            <color indexed="81"/>
            <rFont val="Tahoma"/>
            <family val="2"/>
          </rPr>
          <t xml:space="preserve"> 25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12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31</t>
        </r>
        <r>
          <rPr>
            <sz val="9"/>
            <color indexed="81"/>
            <rFont val="돋움"/>
            <family val="3"/>
            <charset val="129"/>
          </rPr>
          <t>일까지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설치하여야
한다</t>
        </r>
        <r>
          <rPr>
            <sz val="9"/>
            <color indexed="81"/>
            <rFont val="Tahoma"/>
            <family val="2"/>
          </rPr>
          <t xml:space="preserve">. </t>
        </r>
      </text>
    </comment>
    <comment ref="Q170" authorId="1" shapeId="0" xr:uid="{D6EB74B2-39E6-491B-AD9E-FD224FEC4C83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설계비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검토</t>
        </r>
        <r>
          <rPr>
            <sz val="9"/>
            <color indexed="81"/>
            <rFont val="Tahoma"/>
            <family val="2"/>
          </rPr>
          <t xml:space="preserve"> : 145,895,200</t>
        </r>
        <r>
          <rPr>
            <sz val="9"/>
            <color indexed="81"/>
            <rFont val="돋움"/>
            <family val="3"/>
            <charset val="129"/>
          </rPr>
          <t>원</t>
        </r>
      </text>
    </comment>
    <comment ref="N175" authorId="1" shapeId="0" xr:uid="{53F7EEE8-E616-46A4-8DBF-50D2AEF786CB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허가조건</t>
        </r>
        <r>
          <rPr>
            <sz val="9"/>
            <color indexed="81"/>
            <rFont val="Tahoma"/>
            <family val="2"/>
          </rPr>
          <t xml:space="preserve">(3-1-11)
 </t>
        </r>
        <r>
          <rPr>
            <sz val="9"/>
            <color indexed="81"/>
            <rFont val="돋움"/>
            <family val="3"/>
            <charset val="129"/>
          </rPr>
          <t>사업장에서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발생하는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폐수는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폐수처리시설에서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처리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산단내월내공공폐수처리시설로
연계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처리하고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있으나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일부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수질오염물질</t>
        </r>
        <r>
          <rPr>
            <sz val="9"/>
            <color indexed="81"/>
            <rFont val="Tahoma"/>
            <family val="2"/>
          </rPr>
          <t>(T-N)</t>
        </r>
        <r>
          <rPr>
            <sz val="9"/>
            <color indexed="81"/>
            <rFont val="돋움"/>
            <family val="3"/>
            <charset val="129"/>
          </rPr>
          <t>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배출허용기준</t>
        </r>
        <r>
          <rPr>
            <sz val="9"/>
            <color indexed="81"/>
            <rFont val="Tahoma"/>
            <family val="2"/>
          </rPr>
          <t>(120</t>
        </r>
        <r>
          <rPr>
            <sz val="9"/>
            <color indexed="81"/>
            <rFont val="돋움"/>
            <family val="3"/>
            <charset val="129"/>
          </rPr>
          <t>㎎</t>
        </r>
        <r>
          <rPr>
            <sz val="9"/>
            <color indexed="81"/>
            <rFont val="Tahoma"/>
            <family val="2"/>
          </rPr>
          <t>/L)</t>
        </r>
        <r>
          <rPr>
            <sz val="9"/>
            <color indexed="81"/>
            <rFont val="돋움"/>
            <family val="3"/>
            <charset val="129"/>
          </rPr>
          <t>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초과하고
있으므로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배출허용기준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이내로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처리할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저감시설을</t>
        </r>
        <r>
          <rPr>
            <sz val="9"/>
            <color indexed="81"/>
            <rFont val="Tahoma"/>
            <family val="2"/>
          </rPr>
          <t xml:space="preserve"> 25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12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31</t>
        </r>
        <r>
          <rPr>
            <sz val="9"/>
            <color indexed="81"/>
            <rFont val="돋움"/>
            <family val="3"/>
            <charset val="129"/>
          </rPr>
          <t>일까지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설치하여야
한다</t>
        </r>
        <r>
          <rPr>
            <sz val="9"/>
            <color indexed="81"/>
            <rFont val="Tahoma"/>
            <family val="2"/>
          </rPr>
          <t xml:space="preserve">. </t>
        </r>
      </text>
    </comment>
    <comment ref="Q176" authorId="1" shapeId="0" xr:uid="{A85F5AC8-CFC1-40A8-B90C-DE65763ED7E0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설계비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검토</t>
        </r>
        <r>
          <rPr>
            <sz val="9"/>
            <color indexed="81"/>
            <rFont val="Tahoma"/>
            <family val="2"/>
          </rPr>
          <t xml:space="preserve"> : 145,895,200</t>
        </r>
        <r>
          <rPr>
            <sz val="9"/>
            <color indexed="81"/>
            <rFont val="돋움"/>
            <family val="3"/>
            <charset val="129"/>
          </rPr>
          <t>원</t>
        </r>
      </text>
    </comment>
    <comment ref="Q183" authorId="1" shapeId="0" xr:uid="{66290071-81DD-467C-BB8F-ABD7AF29A5BC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펌프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견적가
</t>
        </r>
        <r>
          <rPr>
            <sz val="9"/>
            <color indexed="81"/>
            <rFont val="Tahoma"/>
            <family val="2"/>
          </rPr>
          <t>: 46,563,000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 xml:space="preserve">(VAT </t>
        </r>
        <r>
          <rPr>
            <sz val="9"/>
            <color indexed="81"/>
            <rFont val="돋움"/>
            <family val="3"/>
            <charset val="129"/>
          </rPr>
          <t>별도</t>
        </r>
        <r>
          <rPr>
            <sz val="9"/>
            <color indexed="81"/>
            <rFont val="Tahoma"/>
            <family val="2"/>
          </rPr>
          <t>)</t>
        </r>
      </text>
    </comment>
    <comment ref="N186" authorId="1" shapeId="0" xr:uid="{6E4283F8-C128-4DB9-87EA-6D3682D11BB5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 </t>
        </r>
        <r>
          <rPr>
            <sz val="9"/>
            <color indexed="81"/>
            <rFont val="돋움"/>
            <family val="3"/>
            <charset val="129"/>
          </rPr>
          <t>제어실</t>
        </r>
        <r>
          <rPr>
            <sz val="9"/>
            <color indexed="81"/>
            <rFont val="Tahoma"/>
            <family val="2"/>
          </rPr>
          <t xml:space="preserve"> : </t>
        </r>
        <r>
          <rPr>
            <sz val="9"/>
            <color indexed="81"/>
            <rFont val="돋움"/>
            <family val="3"/>
            <charset val="129"/>
          </rPr>
          <t>근무교대시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시용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주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야</t>
        </r>
        <r>
          <rPr>
            <sz val="9"/>
            <color indexed="81"/>
            <rFont val="Tahoma"/>
            <family val="2"/>
          </rPr>
          <t xml:space="preserve"> : 14</t>
        </r>
        <r>
          <rPr>
            <sz val="9"/>
            <color indexed="81"/>
            <rFont val="돋움"/>
            <family val="3"/>
            <charset val="129"/>
          </rPr>
          <t>명</t>
        </r>
        <r>
          <rPr>
            <sz val="9"/>
            <color indexed="81"/>
            <rFont val="Tahoma"/>
            <family val="2"/>
          </rPr>
          <t>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</author>
  </authors>
  <commentList>
    <comment ref="C7" authorId="0" shapeId="0" xr:uid="{CB60E2F4-28B6-47BB-8C54-B245DBBBEDF9}">
      <text>
        <r>
          <rPr>
            <b/>
            <sz val="9"/>
            <color indexed="81"/>
            <rFont val="돋움"/>
            <family val="3"/>
            <charset val="129"/>
          </rPr>
          <t>단위사업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동일사업에서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특별회계가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혼재할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단위사업을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개로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분리
</t>
        </r>
      </text>
    </comment>
  </commentList>
</comments>
</file>

<file path=xl/sharedStrings.xml><?xml version="1.0" encoding="utf-8"?>
<sst xmlns="http://schemas.openxmlformats.org/spreadsheetml/2006/main" count="4349" uniqueCount="2307">
  <si>
    <t>"사회적 가치실현으로 시민과 상생하는 공기업"</t>
    <phoneticPr fontId="4" type="noConversion"/>
  </si>
  <si>
    <t>2026년도</t>
    <phoneticPr fontId="4" type="noConversion"/>
  </si>
  <si>
    <t>수입·지출 예산서</t>
    <phoneticPr fontId="4" type="noConversion"/>
  </si>
  <si>
    <t>목                 차</t>
    <phoneticPr fontId="4" type="noConversion"/>
  </si>
  <si>
    <t>1. 사업운영계획  ………………………………………</t>
    <phoneticPr fontId="4" type="noConversion"/>
  </si>
  <si>
    <t>2. 예산총칙  ………………………………………………………………</t>
    <phoneticPr fontId="4" type="noConversion"/>
  </si>
  <si>
    <t>3. 2026년 예산 총괄표  ………………………………………………………………</t>
    <phoneticPr fontId="4" type="noConversion"/>
  </si>
  <si>
    <t xml:space="preserve">  3-1. 사업예산 총괄표 ………………………</t>
    <phoneticPr fontId="4" type="noConversion"/>
  </si>
  <si>
    <t xml:space="preserve">  3-2. 자본예산 총괄표…………………………</t>
    <phoneticPr fontId="4" type="noConversion"/>
  </si>
  <si>
    <t xml:space="preserve">                               가. 수입예산 총괄표 ………………………………………………………</t>
    <phoneticPr fontId="4" type="noConversion"/>
  </si>
  <si>
    <t xml:space="preserve">                               나. 지출예산 총괄표 ………………………………………………………</t>
    <phoneticPr fontId="4" type="noConversion"/>
  </si>
  <si>
    <t xml:space="preserve">                               다. 지출예산 ………………………………………………………………</t>
    <phoneticPr fontId="4" type="noConversion"/>
  </si>
  <si>
    <t>4. 자금운영계획  ……………………………………………………</t>
    <phoneticPr fontId="4" type="noConversion"/>
  </si>
  <si>
    <t xml:space="preserve">                              ○ 수입자금 ………………………………………………………………</t>
    <phoneticPr fontId="4" type="noConversion"/>
  </si>
  <si>
    <t xml:space="preserve">                              ○ 지출자금 ………………………………………………………………</t>
    <phoneticPr fontId="4" type="noConversion"/>
  </si>
  <si>
    <t>1.  사 업 운 영 계 획</t>
    <phoneticPr fontId="4" type="noConversion"/>
  </si>
  <si>
    <t>1. 사 업 운 영 계 획</t>
    <phoneticPr fontId="3" type="noConversion"/>
  </si>
  <si>
    <t xml:space="preserve"> 구          분</t>
    <phoneticPr fontId="4" type="noConversion"/>
  </si>
  <si>
    <t>단위</t>
    <phoneticPr fontId="4" type="noConversion"/>
  </si>
  <si>
    <t>당년도</t>
    <phoneticPr fontId="4" type="noConversion"/>
  </si>
  <si>
    <t>전년도</t>
    <phoneticPr fontId="4" type="noConversion"/>
  </si>
  <si>
    <t>증감</t>
    <phoneticPr fontId="4" type="noConversion"/>
  </si>
  <si>
    <t>비고</t>
    <phoneticPr fontId="4" type="noConversion"/>
  </si>
  <si>
    <t>1. 시설현황</t>
    <phoneticPr fontId="3" type="noConversion"/>
  </si>
  <si>
    <t>1) 공영주차장수</t>
    <phoneticPr fontId="3" type="noConversion"/>
  </si>
  <si>
    <t>2) 휴양림 관리</t>
    <phoneticPr fontId="3" type="noConversion"/>
  </si>
  <si>
    <t>3) 야영장 관리</t>
    <phoneticPr fontId="3" type="noConversion"/>
  </si>
  <si>
    <t>4) 장애인국민체육센터 관리</t>
    <phoneticPr fontId="3" type="noConversion"/>
  </si>
  <si>
    <t>5) 수영장관리</t>
    <phoneticPr fontId="3" type="noConversion"/>
  </si>
  <si>
    <t>개소</t>
    <phoneticPr fontId="3" type="noConversion"/>
  </si>
  <si>
    <t>신규: 종포해양공원, 웅천해변공원2, 화장동</t>
    <phoneticPr fontId="3" type="noConversion"/>
  </si>
  <si>
    <t>2. 업무현황</t>
    <phoneticPr fontId="3" type="noConversion"/>
  </si>
  <si>
    <t>1) 1일주차대수</t>
    <phoneticPr fontId="3" type="noConversion"/>
  </si>
  <si>
    <t>2) 연간 주차요금수입</t>
    <phoneticPr fontId="3" type="noConversion"/>
  </si>
  <si>
    <t>3) 연간 휴양림 관리수입</t>
    <phoneticPr fontId="3" type="noConversion"/>
  </si>
  <si>
    <t>4) 연간 종량제물품판매수입</t>
    <phoneticPr fontId="3" type="noConversion"/>
  </si>
  <si>
    <t>5) 연간 수영장관리수입</t>
    <phoneticPr fontId="3" type="noConversion"/>
  </si>
  <si>
    <t>6) 연간 장애인국민체육센터 관리수입</t>
    <phoneticPr fontId="3" type="noConversion"/>
  </si>
  <si>
    <t>3. 대행사업현황</t>
    <phoneticPr fontId="3" type="noConversion"/>
  </si>
  <si>
    <t>1) 공영주차장 관리 운영</t>
    <phoneticPr fontId="3" type="noConversion"/>
  </si>
  <si>
    <t>2) 돌산공원주차장 운영</t>
    <phoneticPr fontId="3" type="noConversion"/>
  </si>
  <si>
    <t>3) 봉황산자연휴양림 운영</t>
    <phoneticPr fontId="3" type="noConversion"/>
  </si>
  <si>
    <t>4) 굴전, 금오도 야영장</t>
    <phoneticPr fontId="3" type="noConversion"/>
  </si>
  <si>
    <t>5) 생활폐기물수집운반</t>
    <phoneticPr fontId="3" type="noConversion"/>
  </si>
  <si>
    <t>6) 종량제물품공급</t>
    <phoneticPr fontId="3" type="noConversion"/>
  </si>
  <si>
    <t>7) 진남수영장</t>
    <phoneticPr fontId="3" type="noConversion"/>
  </si>
  <si>
    <t>8) 망마국민체육센터</t>
    <phoneticPr fontId="3" type="noConversion"/>
  </si>
  <si>
    <t>9) 장애인국민체육센터</t>
    <phoneticPr fontId="3" type="noConversion"/>
  </si>
  <si>
    <t>10) 웅천국민체육센터</t>
    <phoneticPr fontId="3" type="noConversion"/>
  </si>
  <si>
    <t>11) 도시형폐기물처리시설</t>
    <phoneticPr fontId="3" type="noConversion"/>
  </si>
  <si>
    <t>계</t>
    <phoneticPr fontId="3" type="noConversion"/>
  </si>
  <si>
    <t>4. 인력관리현황</t>
    <phoneticPr fontId="3" type="noConversion"/>
  </si>
  <si>
    <t>2) 일 반 직</t>
    <phoneticPr fontId="3" type="noConversion"/>
  </si>
  <si>
    <t>1) 임     원</t>
    <phoneticPr fontId="3" type="noConversion"/>
  </si>
  <si>
    <t>3) 기 능 직</t>
    <phoneticPr fontId="3" type="noConversion"/>
  </si>
  <si>
    <t>4) 환경미화직</t>
    <phoneticPr fontId="3" type="noConversion"/>
  </si>
  <si>
    <t>5) 공 무 직</t>
    <phoneticPr fontId="3" type="noConversion"/>
  </si>
  <si>
    <t>6) 기 타 직</t>
    <phoneticPr fontId="3" type="noConversion"/>
  </si>
  <si>
    <t>7) 기간제근로자 등</t>
    <phoneticPr fontId="3" type="noConversion"/>
  </si>
  <si>
    <t>5. 자산평가액</t>
    <phoneticPr fontId="3" type="noConversion"/>
  </si>
  <si>
    <t>출자 자본금</t>
    <phoneticPr fontId="3" type="noConversion"/>
  </si>
  <si>
    <t>백만원</t>
    <phoneticPr fontId="3" type="noConversion"/>
  </si>
  <si>
    <t>명</t>
    <phoneticPr fontId="3" type="noConversion"/>
  </si>
  <si>
    <t>대/일</t>
    <phoneticPr fontId="3" type="noConversion"/>
  </si>
  <si>
    <t>천원</t>
    <phoneticPr fontId="3" type="noConversion"/>
  </si>
  <si>
    <t>이사장포함</t>
    <phoneticPr fontId="3" type="noConversion"/>
  </si>
  <si>
    <t>진남/망마/웅천</t>
    <phoneticPr fontId="3" type="noConversion"/>
  </si>
  <si>
    <t>굴전/금오도</t>
    <phoneticPr fontId="3" type="noConversion"/>
  </si>
  <si>
    <t>정원 10증(웅천국민체육센터 신규 수탁에 따른 운영 인력)</t>
    <phoneticPr fontId="3" type="noConversion"/>
  </si>
  <si>
    <t>정원 3증(웅천국민체육센터 등 신규 수탁에 따른 운영 인력)</t>
    <phoneticPr fontId="3" type="noConversion"/>
  </si>
  <si>
    <t>정원</t>
    <phoneticPr fontId="4" type="noConversion"/>
  </si>
  <si>
    <t>"</t>
    <phoneticPr fontId="4" type="noConversion"/>
  </si>
  <si>
    <t>市 파견공무원</t>
    <phoneticPr fontId="4" type="noConversion"/>
  </si>
  <si>
    <t>정원 외</t>
    <phoneticPr fontId="4" type="noConversion"/>
  </si>
  <si>
    <t>1.6만대/1</t>
    <phoneticPr fontId="3" type="noConversion"/>
  </si>
  <si>
    <t xml:space="preserve">2.  예  산  총  칙 </t>
    <phoneticPr fontId="4" type="noConversion"/>
  </si>
  <si>
    <t>제3조 사업수입액이 사업지출액에 대하여 부족한 금액은 자본예산 차액으로 보전하는 것으로 한다.</t>
    <phoneticPr fontId="4" type="noConversion"/>
  </si>
  <si>
    <t>제4조(예산전용금지 과목)다음에 게기하는 과목의 경비는 이사회의 의결을 거치지 않고는 그 경비를 전용할 수 없다.</t>
    <phoneticPr fontId="4" type="noConversion"/>
  </si>
  <si>
    <t xml:space="preserve">         (1) 인건비</t>
    <phoneticPr fontId="4" type="noConversion"/>
  </si>
  <si>
    <t xml:space="preserve">         (2) 업무추진비(타 비목으로부터의 전용금지)</t>
    <phoneticPr fontId="4" type="noConversion"/>
  </si>
  <si>
    <t>제5조(일시차입금)이사장은 공단의 자금수급 불균형으로 인하여 자금의 일시적 차입이 필요한 때에는 이사회의 결정으로 예산의 5%이내의 금액을 일시 차입하여 사업을 추진할 수 있다.</t>
    <phoneticPr fontId="4" type="noConversion"/>
  </si>
  <si>
    <t>여수시도시관리공단 이사장   송  병  구</t>
    <phoneticPr fontId="4" type="noConversion"/>
  </si>
  <si>
    <t>제1조 (총칙) 2026년 여수시도시관리공단의 예산은 다음과 같이 정한다.</t>
    <phoneticPr fontId="4" type="noConversion"/>
  </si>
  <si>
    <t>제2조 (수입 및 지출) 수입 및 지출의 예정액은 다음과 같이 정한다.</t>
    <phoneticPr fontId="4" type="noConversion"/>
  </si>
  <si>
    <t>수      입</t>
    <phoneticPr fontId="4" type="noConversion"/>
  </si>
  <si>
    <t>지      출</t>
    <phoneticPr fontId="4" type="noConversion"/>
  </si>
  <si>
    <t>과    목</t>
    <phoneticPr fontId="4" type="noConversion"/>
  </si>
  <si>
    <t>금     액</t>
    <phoneticPr fontId="4" type="noConversion"/>
  </si>
  <si>
    <t>합   계</t>
    <phoneticPr fontId="3" type="noConversion"/>
  </si>
  <si>
    <t>소   계</t>
    <phoneticPr fontId="3" type="noConversion"/>
  </si>
  <si>
    <t>1. 사업수익</t>
    <phoneticPr fontId="3" type="noConversion"/>
  </si>
  <si>
    <t xml:space="preserve">  가. 영업수익</t>
    <phoneticPr fontId="3" type="noConversion"/>
  </si>
  <si>
    <t xml:space="preserve">  나. 영엽외수익</t>
    <phoneticPr fontId="3" type="noConversion"/>
  </si>
  <si>
    <t xml:space="preserve">  다. 특별이익</t>
    <phoneticPr fontId="3" type="noConversion"/>
  </si>
  <si>
    <t>1. 사업비용</t>
    <phoneticPr fontId="3" type="noConversion"/>
  </si>
  <si>
    <t xml:space="preserve">  가. 교통휴양 대행사업</t>
    <phoneticPr fontId="3" type="noConversion"/>
  </si>
  <si>
    <t xml:space="preserve">  나. 체육시설 대행사업</t>
    <phoneticPr fontId="3" type="noConversion"/>
  </si>
  <si>
    <t xml:space="preserve">  다. 환경대행사업</t>
    <phoneticPr fontId="3" type="noConversion"/>
  </si>
  <si>
    <t xml:space="preserve">  라. 행정운영활동</t>
    <phoneticPr fontId="3" type="noConversion"/>
  </si>
  <si>
    <t>소    계</t>
    <phoneticPr fontId="4" type="noConversion"/>
  </si>
  <si>
    <t>2. 자본수입</t>
    <phoneticPr fontId="4" type="noConversion"/>
  </si>
  <si>
    <t xml:space="preserve">  가. 투자자산</t>
    <phoneticPr fontId="4" type="noConversion"/>
  </si>
  <si>
    <t xml:space="preserve">  나. 고정자산매각수입</t>
    <phoneticPr fontId="4" type="noConversion"/>
  </si>
  <si>
    <t xml:space="preserve">  다. 고정부채수입</t>
    <phoneticPr fontId="4" type="noConversion"/>
  </si>
  <si>
    <t xml:space="preserve">  라. 비유동부채수입</t>
    <phoneticPr fontId="4" type="noConversion"/>
  </si>
  <si>
    <t xml:space="preserve">  마. 자본금</t>
    <phoneticPr fontId="4" type="noConversion"/>
  </si>
  <si>
    <t xml:space="preserve">  바. 자본잉여금수입</t>
    <phoneticPr fontId="4" type="noConversion"/>
  </si>
  <si>
    <t xml:space="preserve">  사. 유보자금</t>
    <phoneticPr fontId="4" type="noConversion"/>
  </si>
  <si>
    <t xml:space="preserve">  아. 기타자본수입</t>
    <phoneticPr fontId="4" type="noConversion"/>
  </si>
  <si>
    <t>2. 자본지출</t>
    <phoneticPr fontId="4" type="noConversion"/>
  </si>
  <si>
    <t xml:space="preserve">  가. 교통휴양 대행사업</t>
    <phoneticPr fontId="4" type="noConversion"/>
  </si>
  <si>
    <t xml:space="preserve">  나. 체육시설 대행사업</t>
    <phoneticPr fontId="4" type="noConversion"/>
  </si>
  <si>
    <t xml:space="preserve">  다. 환경대행사업</t>
    <phoneticPr fontId="4" type="noConversion"/>
  </si>
  <si>
    <t xml:space="preserve">  라. 행정운영활동(일반행정운영 관리)</t>
    <phoneticPr fontId="4" type="noConversion"/>
  </si>
  <si>
    <t xml:space="preserve">  마. 예비비</t>
    <phoneticPr fontId="4" type="noConversion"/>
  </si>
  <si>
    <t>3. 이월금</t>
    <phoneticPr fontId="4" type="noConversion"/>
  </si>
  <si>
    <t xml:space="preserve">  가. 순세계잉여금</t>
    <phoneticPr fontId="4" type="noConversion"/>
  </si>
  <si>
    <t xml:space="preserve">  나. 미수금</t>
    <phoneticPr fontId="4" type="noConversion"/>
  </si>
  <si>
    <t>가. 추정손익계산서</t>
    <phoneticPr fontId="4" type="noConversion"/>
  </si>
  <si>
    <t>차     변</t>
    <phoneticPr fontId="4" type="noConversion"/>
  </si>
  <si>
    <t>대      변</t>
    <phoneticPr fontId="4" type="noConversion"/>
  </si>
  <si>
    <t>비용</t>
    <phoneticPr fontId="4" type="noConversion"/>
  </si>
  <si>
    <t>순이익</t>
    <phoneticPr fontId="4" type="noConversion"/>
  </si>
  <si>
    <t>수익</t>
    <phoneticPr fontId="4" type="noConversion"/>
  </si>
  <si>
    <t>순손실</t>
    <phoneticPr fontId="4" type="noConversion"/>
  </si>
  <si>
    <t>2. 예 산 총 칙</t>
    <phoneticPr fontId="4" type="noConversion"/>
  </si>
  <si>
    <t xml:space="preserve">3.  예  산  총  괄  표 </t>
    <phoneticPr fontId="4" type="noConversion"/>
  </si>
  <si>
    <t>3. 예 산 총 괄 표</t>
    <phoneticPr fontId="4" type="noConversion"/>
  </si>
  <si>
    <t>[여수시도시관리공단］</t>
    <phoneticPr fontId="4" type="noConversion"/>
  </si>
  <si>
    <t>[본예산]</t>
    <phoneticPr fontId="4" type="noConversion"/>
  </si>
  <si>
    <t>구분</t>
    <phoneticPr fontId="4" type="noConversion"/>
  </si>
  <si>
    <t>사업예산</t>
    <phoneticPr fontId="4" type="noConversion"/>
  </si>
  <si>
    <t>자본예산</t>
    <phoneticPr fontId="4" type="noConversion"/>
  </si>
  <si>
    <t>예산총계</t>
    <phoneticPr fontId="4" type="noConversion"/>
  </si>
  <si>
    <t>수
입</t>
    <phoneticPr fontId="4" type="noConversion"/>
  </si>
  <si>
    <t>지
출</t>
    <phoneticPr fontId="4" type="noConversion"/>
  </si>
  <si>
    <t>수입계(A)</t>
    <phoneticPr fontId="4" type="noConversion"/>
  </si>
  <si>
    <t>영업수익</t>
    <phoneticPr fontId="4" type="noConversion"/>
  </si>
  <si>
    <t>영업외수입</t>
    <phoneticPr fontId="4" type="noConversion"/>
  </si>
  <si>
    <t>지출계(A`)</t>
    <phoneticPr fontId="4" type="noConversion"/>
  </si>
  <si>
    <t xml:space="preserve">교통휴양 대행사업 </t>
    <phoneticPr fontId="4" type="noConversion"/>
  </si>
  <si>
    <t>체육시설 대행사업</t>
    <phoneticPr fontId="4" type="noConversion"/>
  </si>
  <si>
    <t>환경대행사업</t>
    <phoneticPr fontId="4" type="noConversion"/>
  </si>
  <si>
    <t>행정운영활동</t>
    <phoneticPr fontId="4" type="noConversion"/>
  </si>
  <si>
    <t>법인세등</t>
    <phoneticPr fontId="4" type="noConversion"/>
  </si>
  <si>
    <t>예비비</t>
    <phoneticPr fontId="4" type="noConversion"/>
  </si>
  <si>
    <t xml:space="preserve"> </t>
    <phoneticPr fontId="4" type="noConversion"/>
  </si>
  <si>
    <t>차인(A-A')</t>
    <phoneticPr fontId="4" type="noConversion"/>
  </si>
  <si>
    <t>수입계(B)</t>
    <phoneticPr fontId="4" type="noConversion"/>
  </si>
  <si>
    <t>투자자산처분</t>
    <phoneticPr fontId="4" type="noConversion"/>
  </si>
  <si>
    <t>기타비유동자산처분</t>
    <phoneticPr fontId="4" type="noConversion"/>
  </si>
  <si>
    <t>유동부채수입</t>
    <phoneticPr fontId="4" type="noConversion"/>
  </si>
  <si>
    <t>자본잉여금수입</t>
    <phoneticPr fontId="4" type="noConversion"/>
  </si>
  <si>
    <t>유 보 자 금</t>
    <phoneticPr fontId="4" type="noConversion"/>
  </si>
  <si>
    <t>지출계(B`)</t>
    <phoneticPr fontId="4" type="noConversion"/>
  </si>
  <si>
    <t>행정운영활동(일반행정운영 관리)</t>
    <phoneticPr fontId="4" type="noConversion"/>
  </si>
  <si>
    <t>투자자산</t>
    <phoneticPr fontId="4" type="noConversion"/>
  </si>
  <si>
    <t>유동부채상환</t>
    <phoneticPr fontId="4" type="noConversion"/>
  </si>
  <si>
    <t>기타자본적지출</t>
    <phoneticPr fontId="4" type="noConversion"/>
  </si>
  <si>
    <t>차인(B-B')</t>
    <phoneticPr fontId="4" type="noConversion"/>
  </si>
  <si>
    <t>수입계(C)</t>
    <phoneticPr fontId="4" type="noConversion"/>
  </si>
  <si>
    <t>영업외수익</t>
    <phoneticPr fontId="4" type="noConversion"/>
  </si>
  <si>
    <t>유보자금</t>
    <phoneticPr fontId="4" type="noConversion"/>
  </si>
  <si>
    <t>지출계(C`)</t>
    <phoneticPr fontId="4" type="noConversion"/>
  </si>
  <si>
    <t>차인(C-C')</t>
    <phoneticPr fontId="4" type="noConversion"/>
  </si>
  <si>
    <t>3-1. 사업예산 총괄표</t>
    <phoneticPr fontId="4" type="noConversion"/>
  </si>
  <si>
    <t>수  입  의  부 (A)</t>
    <phoneticPr fontId="4" type="noConversion"/>
  </si>
  <si>
    <t>비  용  의  부 (B)</t>
    <phoneticPr fontId="4" type="noConversion"/>
  </si>
  <si>
    <t>계  정  과  목</t>
    <phoneticPr fontId="4" type="noConversion"/>
  </si>
  <si>
    <t>금    액</t>
    <phoneticPr fontId="4" type="noConversion"/>
  </si>
  <si>
    <t>합    계  (A)</t>
    <phoneticPr fontId="4" type="noConversion"/>
  </si>
  <si>
    <t>소   계</t>
    <phoneticPr fontId="4" type="noConversion"/>
  </si>
  <si>
    <t>용지매출수익</t>
    <phoneticPr fontId="4" type="noConversion"/>
  </si>
  <si>
    <t>주택판매수익</t>
    <phoneticPr fontId="4" type="noConversion"/>
  </si>
  <si>
    <t>대행사업수익(직접)</t>
    <phoneticPr fontId="4" type="noConversion"/>
  </si>
  <si>
    <t>대행사업수익(간접)</t>
    <phoneticPr fontId="4" type="noConversion"/>
  </si>
  <si>
    <t>이자수익</t>
    <phoneticPr fontId="4" type="noConversion"/>
  </si>
  <si>
    <t>기타영업외수익</t>
    <phoneticPr fontId="4" type="noConversion"/>
  </si>
  <si>
    <t>합    계  (B)</t>
    <phoneticPr fontId="4" type="noConversion"/>
  </si>
  <si>
    <t>영업비용</t>
    <phoneticPr fontId="4" type="noConversion"/>
  </si>
  <si>
    <t>용  지 매 출 원 가</t>
    <phoneticPr fontId="4" type="noConversion"/>
  </si>
  <si>
    <t>주  택 판 매 원 가</t>
    <phoneticPr fontId="4" type="noConversion"/>
  </si>
  <si>
    <t>대행사업비(직접)</t>
    <phoneticPr fontId="4" type="noConversion"/>
  </si>
  <si>
    <t>대행사업비(간접)</t>
    <phoneticPr fontId="4" type="noConversion"/>
  </si>
  <si>
    <t>영업외비용</t>
    <phoneticPr fontId="4" type="noConversion"/>
  </si>
  <si>
    <t>기타영업외비용</t>
    <phoneticPr fontId="4" type="noConversion"/>
  </si>
  <si>
    <t>특별손실</t>
    <phoneticPr fontId="4" type="noConversion"/>
  </si>
  <si>
    <t>예  비  비</t>
    <phoneticPr fontId="4" type="noConversion"/>
  </si>
  <si>
    <t>예     비     비</t>
    <phoneticPr fontId="4" type="noConversion"/>
  </si>
  <si>
    <t>수입. 비용차감액 (A-B)</t>
    <phoneticPr fontId="4" type="noConversion"/>
  </si>
  <si>
    <t>3-2. 자본예산 총괄표</t>
    <phoneticPr fontId="4" type="noConversion"/>
  </si>
  <si>
    <t>수입의부 (A)</t>
    <phoneticPr fontId="4" type="noConversion"/>
  </si>
  <si>
    <t>지출의부 (B)</t>
    <phoneticPr fontId="4" type="noConversion"/>
  </si>
  <si>
    <t>투자자산수입</t>
    <phoneticPr fontId="4" type="noConversion"/>
  </si>
  <si>
    <t>소계</t>
    <phoneticPr fontId="4" type="noConversion"/>
  </si>
  <si>
    <t>보증금회수수입</t>
    <phoneticPr fontId="4" type="noConversion"/>
  </si>
  <si>
    <t>기타유동부채수입</t>
    <phoneticPr fontId="4" type="noConversion"/>
  </si>
  <si>
    <t>차량운반구매각수입</t>
    <phoneticPr fontId="4" type="noConversion"/>
  </si>
  <si>
    <t>수탁자산보조금수입</t>
    <phoneticPr fontId="4" type="noConversion"/>
  </si>
  <si>
    <t>기타자본적수입</t>
    <phoneticPr fontId="4" type="noConversion"/>
  </si>
  <si>
    <t>투   자   자   산</t>
    <phoneticPr fontId="4" type="noConversion"/>
  </si>
  <si>
    <t>미완성주택</t>
    <phoneticPr fontId="4" type="noConversion"/>
  </si>
  <si>
    <t>지급이자등</t>
    <phoneticPr fontId="4" type="noConversion"/>
  </si>
  <si>
    <t>유형자산취득</t>
    <phoneticPr fontId="4" type="noConversion"/>
  </si>
  <si>
    <t>구    축    물</t>
    <phoneticPr fontId="4" type="noConversion"/>
  </si>
  <si>
    <t>기계장치</t>
    <phoneticPr fontId="4" type="noConversion"/>
  </si>
  <si>
    <t>차량운반구</t>
    <phoneticPr fontId="4" type="noConversion"/>
  </si>
  <si>
    <t>수탁자산취득비</t>
    <phoneticPr fontId="4" type="noConversion"/>
  </si>
  <si>
    <t>무형자산 및
기타비유동자산취득</t>
    <phoneticPr fontId="4" type="noConversion"/>
  </si>
  <si>
    <t>보증금</t>
    <phoneticPr fontId="4" type="noConversion"/>
  </si>
  <si>
    <t>재고자산</t>
    <phoneticPr fontId="4" type="noConversion"/>
  </si>
  <si>
    <t>고정부채상환</t>
    <phoneticPr fontId="4" type="noConversion"/>
  </si>
  <si>
    <t>기타유동부채상환</t>
    <phoneticPr fontId="4" type="noConversion"/>
  </si>
  <si>
    <t>가. 수입예산 총괄표(사업수익+자본적수입)</t>
    <phoneticPr fontId="4" type="noConversion"/>
  </si>
  <si>
    <t>과                                    목</t>
    <phoneticPr fontId="4" type="noConversion"/>
  </si>
  <si>
    <t>당년도예산액
(A)</t>
    <phoneticPr fontId="4" type="noConversion"/>
  </si>
  <si>
    <t>전년도예산액
(B)</t>
    <phoneticPr fontId="4" type="noConversion"/>
  </si>
  <si>
    <t>증       감
(A-B)</t>
    <phoneticPr fontId="4" type="noConversion"/>
  </si>
  <si>
    <t>산       출       기       초</t>
    <phoneticPr fontId="4" type="noConversion"/>
  </si>
  <si>
    <t>관</t>
    <phoneticPr fontId="4" type="noConversion"/>
  </si>
  <si>
    <t>항</t>
    <phoneticPr fontId="4" type="noConversion"/>
  </si>
  <si>
    <t>세항</t>
    <phoneticPr fontId="4" type="noConversion"/>
  </si>
  <si>
    <t>목</t>
    <phoneticPr fontId="4" type="noConversion"/>
  </si>
  <si>
    <t>수입계(사업수익+자본적수입)</t>
    <phoneticPr fontId="4" type="noConversion"/>
  </si>
  <si>
    <t>600 사업수익</t>
    <phoneticPr fontId="4" type="noConversion"/>
  </si>
  <si>
    <t>610 영업수익</t>
    <phoneticPr fontId="4" type="noConversion"/>
  </si>
  <si>
    <t>622 대행사업수익</t>
    <phoneticPr fontId="4" type="noConversion"/>
  </si>
  <si>
    <t>623-01
직접관리비수익</t>
    <phoneticPr fontId="1" type="noConversion"/>
  </si>
  <si>
    <t>623-02
간접관리비수익</t>
    <phoneticPr fontId="4" type="noConversion"/>
  </si>
  <si>
    <t>670 영업외수익</t>
    <phoneticPr fontId="4" type="noConversion"/>
  </si>
  <si>
    <t>679 기타영업외수익</t>
    <phoneticPr fontId="4" type="noConversion"/>
  </si>
  <si>
    <t>679-09
기타영업외수익</t>
    <phoneticPr fontId="4" type="noConversion"/>
  </si>
  <si>
    <t>100 자본적수입</t>
    <phoneticPr fontId="4" type="noConversion"/>
  </si>
  <si>
    <t>170 
자본잉여금수입</t>
    <phoneticPr fontId="4" type="noConversion"/>
  </si>
  <si>
    <t>176
수탁자산보조금수입</t>
    <phoneticPr fontId="4" type="noConversion"/>
  </si>
  <si>
    <t>176-01
수탁자산보조금수입</t>
    <phoneticPr fontId="4" type="noConversion"/>
  </si>
  <si>
    <t>180 유보자금</t>
    <phoneticPr fontId="4" type="noConversion"/>
  </si>
  <si>
    <t>181 잉여금</t>
    <phoneticPr fontId="4" type="noConversion"/>
  </si>
  <si>
    <t>181-01
순세계잉여금</t>
    <phoneticPr fontId="4" type="noConversion"/>
  </si>
  <si>
    <t xml:space="preserve">  ○ 대행사업관리비 수입(공영주차장 관리 운영)</t>
    <phoneticPr fontId="4" type="noConversion"/>
  </si>
  <si>
    <t>=</t>
    <phoneticPr fontId="1" type="noConversion"/>
  </si>
  <si>
    <t xml:space="preserve">  ○ 대행사업관리비 수입(돌산공원주차장 운영)</t>
    <phoneticPr fontId="4" type="noConversion"/>
  </si>
  <si>
    <t>=</t>
    <phoneticPr fontId="4" type="noConversion"/>
  </si>
  <si>
    <t xml:space="preserve">  ○ 대행사업관리비 수입(봉황산자연휴양림 운영)</t>
    <phoneticPr fontId="4" type="noConversion"/>
  </si>
  <si>
    <t xml:space="preserve">  ○ 대행사업관리비 수입(굴전∙금오도 야영장 운영)</t>
    <phoneticPr fontId="4" type="noConversion"/>
  </si>
  <si>
    <t>○ 대행사업 관리비 수입(생활폐기물수집운반)</t>
    <phoneticPr fontId="1" type="noConversion"/>
  </si>
  <si>
    <t xml:space="preserve">  ○ 대행사업관리비 수입(종량제물품공급)</t>
    <phoneticPr fontId="4" type="noConversion"/>
  </si>
  <si>
    <t xml:space="preserve">  ○ 대행사업관리비 수입(진남수영장)</t>
    <phoneticPr fontId="4" type="noConversion"/>
  </si>
  <si>
    <t xml:space="preserve">  ○ 대행사업관리비 수입(망마국민체육센터)</t>
    <phoneticPr fontId="4" type="noConversion"/>
  </si>
  <si>
    <t xml:space="preserve">  ○ 대행사업관리비 수입(장애인국민체육센터)</t>
    <phoneticPr fontId="4" type="noConversion"/>
  </si>
  <si>
    <t xml:space="preserve">  ○ 대행사업관리비 수입(웅천국민체육센터)</t>
    <phoneticPr fontId="4" type="noConversion"/>
  </si>
  <si>
    <t xml:space="preserve">  ○ 대행사업관리비 수입(도시형폐기물처리시설)</t>
    <phoneticPr fontId="4" type="noConversion"/>
  </si>
  <si>
    <t>623-02 간접관리비수익</t>
    <phoneticPr fontId="4" type="noConversion"/>
  </si>
  <si>
    <t xml:space="preserve">  ○ 사업수행에 따른 공통경비등 간접관리비 수입</t>
    <phoneticPr fontId="4" type="noConversion"/>
  </si>
  <si>
    <t>○ 신용카드 포인트 등</t>
    <phoneticPr fontId="4" type="noConversion"/>
  </si>
  <si>
    <t>○ 수탁자산취득비(경영본부)</t>
    <phoneticPr fontId="4" type="noConversion"/>
  </si>
  <si>
    <t>○ 수탁자산취득비(공영주차장)</t>
    <phoneticPr fontId="1" type="noConversion"/>
  </si>
  <si>
    <t>○ 수탁자산취득비(돌산공원주차장)</t>
    <phoneticPr fontId="1" type="noConversion"/>
  </si>
  <si>
    <t>○ 수탁자산취득비(봉황산자연휴양림)</t>
    <phoneticPr fontId="1" type="noConversion"/>
  </si>
  <si>
    <r>
      <t xml:space="preserve">  ○ 수착자산취득비(굴전</t>
    </r>
    <r>
      <rPr>
        <sz val="10"/>
        <rFont val="맑은 고딕"/>
        <family val="3"/>
        <charset val="129"/>
      </rPr>
      <t>∙</t>
    </r>
    <r>
      <rPr>
        <sz val="10"/>
        <rFont val="굴림"/>
        <family val="3"/>
        <charset val="129"/>
      </rPr>
      <t>금오도 야영장 운영)</t>
    </r>
    <phoneticPr fontId="4" type="noConversion"/>
  </si>
  <si>
    <t xml:space="preserve"> ○ 수탁자산취득비(생활폐기물수집운반)</t>
    <phoneticPr fontId="4" type="noConversion"/>
  </si>
  <si>
    <t>○ 수탁자산취득비(종량제물품공급)</t>
    <phoneticPr fontId="4" type="noConversion"/>
  </si>
  <si>
    <t>○ 수탁자산취득비(진남수영장)</t>
    <phoneticPr fontId="4" type="noConversion"/>
  </si>
  <si>
    <t>○ 수탁자산취득비(망마국민체육센터)</t>
    <phoneticPr fontId="1" type="noConversion"/>
  </si>
  <si>
    <t>○ 수탁자산취득비(장애인국민체육센터)</t>
    <phoneticPr fontId="4" type="noConversion"/>
  </si>
  <si>
    <t xml:space="preserve"> ○ 시설비및부대비,수탁자산취득비(도시형폐기물처리시설)</t>
    <phoneticPr fontId="4" type="noConversion"/>
  </si>
  <si>
    <t>○ 유보자금</t>
    <phoneticPr fontId="4" type="noConversion"/>
  </si>
  <si>
    <t>나. 지출예산 총괄표(사업수익+자본적수입)</t>
    <phoneticPr fontId="4" type="noConversion"/>
  </si>
  <si>
    <t>분야부분</t>
    <phoneticPr fontId="4" type="noConversion"/>
  </si>
  <si>
    <t>정책사업</t>
    <phoneticPr fontId="4" type="noConversion"/>
  </si>
  <si>
    <t>단위사업</t>
    <phoneticPr fontId="4" type="noConversion"/>
  </si>
  <si>
    <t>세부사업</t>
    <phoneticPr fontId="4" type="noConversion"/>
  </si>
  <si>
    <t>세목</t>
    <phoneticPr fontId="4" type="noConversion"/>
  </si>
  <si>
    <t>총계(사업예산+자본예산)</t>
    <phoneticPr fontId="4" type="noConversion"/>
  </si>
  <si>
    <t>0110_013 지방행정, 재정지원</t>
    <phoneticPr fontId="4" type="noConversion"/>
  </si>
  <si>
    <r>
      <t>교통</t>
    </r>
    <r>
      <rPr>
        <b/>
        <sz val="10"/>
        <rFont val="맑은 고딕"/>
        <family val="3"/>
        <charset val="129"/>
      </rPr>
      <t>∙</t>
    </r>
    <r>
      <rPr>
        <b/>
        <sz val="10"/>
        <rFont val="굴림"/>
        <family val="3"/>
        <charset val="129"/>
      </rPr>
      <t>휴양 대행사업</t>
    </r>
    <phoneticPr fontId="4" type="noConversion"/>
  </si>
  <si>
    <t>공영주차장 수탁 대행사업</t>
    <phoneticPr fontId="4" type="noConversion"/>
  </si>
  <si>
    <t>공영주차장 관리운영</t>
    <phoneticPr fontId="4" type="noConversion"/>
  </si>
  <si>
    <t>인건비</t>
    <phoneticPr fontId="4" type="noConversion"/>
  </si>
  <si>
    <t>기간제근로자보수</t>
    <phoneticPr fontId="4" type="noConversion"/>
  </si>
  <si>
    <t>일반운영비</t>
    <phoneticPr fontId="4" type="noConversion"/>
  </si>
  <si>
    <t>사무관리비</t>
    <phoneticPr fontId="4" type="noConversion"/>
  </si>
  <si>
    <t>지급수수료</t>
    <phoneticPr fontId="4" type="noConversion"/>
  </si>
  <si>
    <t>임차료</t>
    <phoneticPr fontId="4" type="noConversion"/>
  </si>
  <si>
    <t>복리후생비</t>
    <phoneticPr fontId="4" type="noConversion"/>
  </si>
  <si>
    <t>차량선박비</t>
    <phoneticPr fontId="4" type="noConversion"/>
  </si>
  <si>
    <t>여비</t>
    <phoneticPr fontId="4" type="noConversion"/>
  </si>
  <si>
    <t>국내여비</t>
    <phoneticPr fontId="4" type="noConversion"/>
  </si>
  <si>
    <t>연구개발비</t>
    <phoneticPr fontId="4" type="noConversion"/>
  </si>
  <si>
    <t>전산개발비</t>
    <phoneticPr fontId="4" type="noConversion"/>
  </si>
  <si>
    <t>관서업무비</t>
    <phoneticPr fontId="4" type="noConversion"/>
  </si>
  <si>
    <t>부서업무비</t>
    <phoneticPr fontId="4" type="noConversion"/>
  </si>
  <si>
    <t>배상금등</t>
    <phoneticPr fontId="4" type="noConversion"/>
  </si>
  <si>
    <t>공영주차장 시설 유지보수</t>
    <phoneticPr fontId="4" type="noConversion"/>
  </si>
  <si>
    <t>수선유지교체비</t>
    <phoneticPr fontId="4" type="noConversion"/>
  </si>
  <si>
    <t>수선유지비</t>
    <phoneticPr fontId="4" type="noConversion"/>
  </si>
  <si>
    <t>돌산 공원주차장 수탁 대행사업</t>
    <phoneticPr fontId="4" type="noConversion"/>
  </si>
  <si>
    <t>돌산 공원주차장 관리운영</t>
    <phoneticPr fontId="4" type="noConversion"/>
  </si>
  <si>
    <t>돌산 공원주차장 시설 유지보수</t>
    <phoneticPr fontId="4" type="noConversion"/>
  </si>
  <si>
    <t>휴양림 수탁 대행사업</t>
    <phoneticPr fontId="4" type="noConversion"/>
  </si>
  <si>
    <t>봉황산자연휴양림 운영</t>
    <phoneticPr fontId="4" type="noConversion"/>
  </si>
  <si>
    <t>공공운영비</t>
    <phoneticPr fontId="4" type="noConversion"/>
  </si>
  <si>
    <t>봉황산자연휴양림 시설 유지보수</t>
    <phoneticPr fontId="4" type="noConversion"/>
  </si>
  <si>
    <t>야영장 수탁 대행사업</t>
    <phoneticPr fontId="4" type="noConversion"/>
  </si>
  <si>
    <r>
      <t>굴전</t>
    </r>
    <r>
      <rPr>
        <b/>
        <sz val="10"/>
        <rFont val="맑은 고딕"/>
        <family val="3"/>
        <charset val="129"/>
      </rPr>
      <t>∙</t>
    </r>
    <r>
      <rPr>
        <b/>
        <sz val="10"/>
        <rFont val="굴림"/>
        <family val="3"/>
        <charset val="129"/>
      </rPr>
      <t>금오도 야영장 운영</t>
    </r>
    <phoneticPr fontId="4" type="noConversion"/>
  </si>
  <si>
    <t>굴전∙금오도 야영장 시설 유지보수</t>
    <phoneticPr fontId="4" type="noConversion"/>
  </si>
  <si>
    <t>진남수영장 수탁 대행사업</t>
    <phoneticPr fontId="4" type="noConversion"/>
  </si>
  <si>
    <t>진남수영장 운영 및 관리</t>
    <phoneticPr fontId="4" type="noConversion"/>
  </si>
  <si>
    <t>일반보전금</t>
    <phoneticPr fontId="4" type="noConversion"/>
  </si>
  <si>
    <t>기타보상금</t>
    <phoneticPr fontId="4" type="noConversion"/>
  </si>
  <si>
    <t>진남수영장 시설 유지보수</t>
    <phoneticPr fontId="4" type="noConversion"/>
  </si>
  <si>
    <t>재료비</t>
    <phoneticPr fontId="4" type="noConversion"/>
  </si>
  <si>
    <t>일반재료비</t>
    <phoneticPr fontId="4" type="noConversion"/>
  </si>
  <si>
    <t>약품비</t>
    <phoneticPr fontId="4" type="noConversion"/>
  </si>
  <si>
    <t>망마국민체육센터 수탁 대행사업</t>
    <phoneticPr fontId="4" type="noConversion"/>
  </si>
  <si>
    <t>망마국민체육센터 운영 및 관리</t>
    <phoneticPr fontId="4" type="noConversion"/>
  </si>
  <si>
    <t>망마국민체육센터 시설 유지보수</t>
    <phoneticPr fontId="4" type="noConversion"/>
  </si>
  <si>
    <t>장애인국민체육센터 수탁 대행사업</t>
    <phoneticPr fontId="4" type="noConversion"/>
  </si>
  <si>
    <t>장애인국민체육센터 운영 및 관리</t>
    <phoneticPr fontId="4" type="noConversion"/>
  </si>
  <si>
    <t>장애인국민체육센터 시설 유지보수</t>
    <phoneticPr fontId="4" type="noConversion"/>
  </si>
  <si>
    <t>웅천국민체육센터 수탁 대행사업</t>
    <phoneticPr fontId="4" type="noConversion"/>
  </si>
  <si>
    <t>웅천국민체육센터 운영 및 관리</t>
    <phoneticPr fontId="4" type="noConversion"/>
  </si>
  <si>
    <t>웅천국민체육센터 시설 유지보수</t>
    <phoneticPr fontId="4" type="noConversion"/>
  </si>
  <si>
    <r>
      <t>생활폐기물 수집운반</t>
    </r>
    <r>
      <rPr>
        <b/>
        <sz val="10"/>
        <rFont val="맑은 고딕"/>
        <family val="3"/>
        <charset val="129"/>
      </rPr>
      <t>∙</t>
    </r>
    <r>
      <rPr>
        <b/>
        <sz val="10"/>
        <rFont val="굴림"/>
        <family val="3"/>
        <charset val="129"/>
      </rPr>
      <t>가로청소 수탁 대행사업</t>
    </r>
    <phoneticPr fontId="4" type="noConversion"/>
  </si>
  <si>
    <t>생활폐기물 수집운반 및 가로청소 운영관리</t>
    <phoneticPr fontId="4" type="noConversion"/>
  </si>
  <si>
    <t>무기계약직근로자보수</t>
    <phoneticPr fontId="4" type="noConversion"/>
  </si>
  <si>
    <t>연구용역비</t>
    <phoneticPr fontId="4" type="noConversion"/>
  </si>
  <si>
    <t>환경사원 안전개선 사업</t>
    <phoneticPr fontId="4" type="noConversion"/>
  </si>
  <si>
    <t>환경사원 복지관 및 청소차량 유지보수</t>
    <phoneticPr fontId="4" type="noConversion"/>
  </si>
  <si>
    <t>2026년 세계섬박람회 지원사업</t>
    <phoneticPr fontId="4" type="noConversion"/>
  </si>
  <si>
    <t>기간제근로자등보수</t>
    <phoneticPr fontId="4" type="noConversion"/>
  </si>
  <si>
    <t>종량제물품 공급관리 수탁 대행사업</t>
    <phoneticPr fontId="4" type="noConversion"/>
  </si>
  <si>
    <t>종량제물품 공급관리</t>
    <phoneticPr fontId="4" type="noConversion"/>
  </si>
  <si>
    <t>도시형 폐기물 처리시설 수탁 대행사업</t>
    <phoneticPr fontId="4" type="noConversion"/>
  </si>
  <si>
    <t>도시형 폐기물 처리시설 운영</t>
    <phoneticPr fontId="4" type="noConversion"/>
  </si>
  <si>
    <t>도시형 폐기물 처리시설 유지보수</t>
    <phoneticPr fontId="4" type="noConversion"/>
  </si>
  <si>
    <t>시험연구비</t>
    <phoneticPr fontId="4" type="noConversion"/>
  </si>
  <si>
    <t>동력비</t>
    <phoneticPr fontId="4" type="noConversion"/>
  </si>
  <si>
    <t>일반행정운영 관리</t>
  </si>
  <si>
    <t>행정운영</t>
    <phoneticPr fontId="4" type="noConversion"/>
  </si>
  <si>
    <t>행사운영비</t>
    <phoneticPr fontId="4" type="noConversion"/>
  </si>
  <si>
    <t>교육훈련비</t>
    <phoneticPr fontId="4" type="noConversion"/>
  </si>
  <si>
    <t>회의비</t>
    <phoneticPr fontId="4" type="noConversion"/>
  </si>
  <si>
    <t>국외업무여비</t>
    <phoneticPr fontId="4" type="noConversion"/>
  </si>
  <si>
    <t>업무추진비</t>
    <phoneticPr fontId="4" type="noConversion"/>
  </si>
  <si>
    <t>사업업무추진비</t>
    <phoneticPr fontId="4" type="noConversion"/>
  </si>
  <si>
    <t>정원가산업무비</t>
    <phoneticPr fontId="4" type="noConversion"/>
  </si>
  <si>
    <t>연금부담금등</t>
    <phoneticPr fontId="4" type="noConversion"/>
  </si>
  <si>
    <t>연금부담금</t>
    <phoneticPr fontId="4" type="noConversion"/>
  </si>
  <si>
    <t>국민건강보험부담금등</t>
    <phoneticPr fontId="4" type="noConversion"/>
  </si>
  <si>
    <t>공무직(무기계약직)부담금 관련</t>
    <phoneticPr fontId="4" type="noConversion"/>
  </si>
  <si>
    <t>기간제근로자 부담금 관련</t>
    <phoneticPr fontId="4" type="noConversion"/>
  </si>
  <si>
    <t>출연금</t>
    <phoneticPr fontId="4" type="noConversion"/>
  </si>
  <si>
    <t>지방공기업평가원출연금</t>
    <phoneticPr fontId="4" type="noConversion"/>
  </si>
  <si>
    <t>지방공기업최고경영자협의체부담금</t>
    <phoneticPr fontId="4" type="noConversion"/>
  </si>
  <si>
    <t>반환금 기타</t>
    <phoneticPr fontId="4" type="noConversion"/>
  </si>
  <si>
    <t>ESG 경영 체계화</t>
    <phoneticPr fontId="4" type="noConversion"/>
  </si>
  <si>
    <t>행사실비지원금</t>
    <phoneticPr fontId="4" type="noConversion"/>
  </si>
  <si>
    <t>포상금</t>
    <phoneticPr fontId="4" type="noConversion"/>
  </si>
  <si>
    <t>인력운영비</t>
    <phoneticPr fontId="4" type="noConversion"/>
  </si>
  <si>
    <t>인건비(일반행정운영 관리)</t>
    <phoneticPr fontId="4" type="noConversion"/>
  </si>
  <si>
    <t>보수</t>
    <phoneticPr fontId="4" type="noConversion"/>
  </si>
  <si>
    <t>퇴직급여</t>
    <phoneticPr fontId="4" type="noConversion"/>
  </si>
  <si>
    <t>평가급 및 성과금 등</t>
    <phoneticPr fontId="4" type="noConversion"/>
  </si>
  <si>
    <t>일반직평가급등</t>
    <phoneticPr fontId="4" type="noConversion"/>
  </si>
  <si>
    <t>공무직(무기계약)근로자평가급등</t>
    <phoneticPr fontId="4" type="noConversion"/>
  </si>
  <si>
    <t>공영주차장 자산비품 구입(공기구비품)</t>
    <phoneticPr fontId="4" type="noConversion"/>
  </si>
  <si>
    <t>자산취득비</t>
  </si>
  <si>
    <t>봉황산자연휴양림 자산비품 구입(공기구비품)</t>
    <phoneticPr fontId="4" type="noConversion"/>
  </si>
  <si>
    <t>굴전∙금오도 야영장 자산비품 구입(공기구비품)</t>
    <phoneticPr fontId="4" type="noConversion"/>
  </si>
  <si>
    <t>진남수영장 자산비품 구입(공기구비품)</t>
    <phoneticPr fontId="4" type="noConversion"/>
  </si>
  <si>
    <t>망마국민체육센터 자산비품 구입(공기구비품)</t>
    <phoneticPr fontId="4" type="noConversion"/>
  </si>
  <si>
    <t>장애인국민체육센터 자산비품 구입(공기구비품)</t>
    <phoneticPr fontId="4" type="noConversion"/>
  </si>
  <si>
    <t>웅천국민체육센터 자산비품 구입(공기구비품)</t>
    <phoneticPr fontId="4" type="noConversion"/>
  </si>
  <si>
    <t>자산취득비</t>
    <phoneticPr fontId="4" type="noConversion"/>
  </si>
  <si>
    <t>노후 청소차량 적기 교체(차량운반구)</t>
    <phoneticPr fontId="4" type="noConversion"/>
  </si>
  <si>
    <t>환경사원복지관 자산비품 구입(공기구비품)</t>
    <phoneticPr fontId="4" type="noConversion"/>
  </si>
  <si>
    <t>종량제물품 공급관리센터 자산비품 구입(공기구비품)</t>
    <phoneticPr fontId="4" type="noConversion"/>
  </si>
  <si>
    <t>총질소(T-N) 저감시설 설치공사(기계장치)</t>
    <phoneticPr fontId="4" type="noConversion"/>
  </si>
  <si>
    <t>시설비</t>
    <phoneticPr fontId="4" type="noConversion"/>
  </si>
  <si>
    <t>도시형 폐기물 처리시설 기계장치 설치공사</t>
    <phoneticPr fontId="4" type="noConversion"/>
  </si>
  <si>
    <t>도시형 폐기물 처리시설 자산비품 구입(공기구비품)</t>
    <phoneticPr fontId="4" type="noConversion"/>
  </si>
  <si>
    <t>일반행정운영 관리</t>
    <phoneticPr fontId="4" type="noConversion"/>
  </si>
  <si>
    <t>행정사무자산 구입(공기구비품)</t>
    <phoneticPr fontId="4" type="noConversion"/>
  </si>
  <si>
    <t>일반예비비(자본금)</t>
    <phoneticPr fontId="4" type="noConversion"/>
  </si>
  <si>
    <t>일반예비비</t>
    <phoneticPr fontId="4" type="noConversion"/>
  </si>
  <si>
    <t>다. 지출예산(세부사업) - 경영본부</t>
    <phoneticPr fontId="4" type="noConversion"/>
  </si>
  <si>
    <t>구
분</t>
    <phoneticPr fontId="3" type="noConversion"/>
  </si>
  <si>
    <t>사업</t>
    <phoneticPr fontId="3" type="noConversion"/>
  </si>
  <si>
    <t>편성목</t>
    <phoneticPr fontId="3" type="noConversion"/>
  </si>
  <si>
    <t>당년도예산액
(A)</t>
  </si>
  <si>
    <t>전년도예산액
(B)</t>
  </si>
  <si>
    <t>증      감
(A-B)</t>
  </si>
  <si>
    <t>산     출     기     초</t>
  </si>
  <si>
    <t>정책</t>
    <phoneticPr fontId="3" type="noConversion"/>
  </si>
  <si>
    <t>단위</t>
    <phoneticPr fontId="3" type="noConversion"/>
  </si>
  <si>
    <t>세부</t>
    <phoneticPr fontId="3" type="noConversion"/>
  </si>
  <si>
    <t>그룹</t>
    <phoneticPr fontId="3" type="noConversion"/>
  </si>
  <si>
    <t>목</t>
    <phoneticPr fontId="3" type="noConversion"/>
  </si>
  <si>
    <t>세목</t>
    <phoneticPr fontId="3" type="noConversion"/>
  </si>
  <si>
    <t>행정운영</t>
    <phoneticPr fontId="3" type="noConversion"/>
  </si>
  <si>
    <t>200  물건비</t>
    <phoneticPr fontId="4" type="noConversion"/>
  </si>
  <si>
    <t>201  일반운영비</t>
  </si>
  <si>
    <t>01 사무관리비</t>
  </si>
  <si>
    <t>02 공공운영비</t>
  </si>
  <si>
    <t>03 행사운영비</t>
  </si>
  <si>
    <t>11 지급수수료</t>
  </si>
  <si>
    <t>12 교육훈련비</t>
  </si>
  <si>
    <t>13 임차료</t>
  </si>
  <si>
    <t>14 회의비</t>
  </si>
  <si>
    <t>15 복리후생비</t>
  </si>
  <si>
    <t>21 공공요금및제세</t>
    <phoneticPr fontId="4" type="noConversion"/>
  </si>
  <si>
    <t>202 여비</t>
  </si>
  <si>
    <t>01 국내여비</t>
  </si>
  <si>
    <t>03 국외업무여비</t>
  </si>
  <si>
    <t>203 업무추진비</t>
  </si>
  <si>
    <t>07 사업업무추진비</t>
  </si>
  <si>
    <t>214 수선유지교체비</t>
  </si>
  <si>
    <t>05 수선유지비</t>
    <phoneticPr fontId="4" type="noConversion"/>
  </si>
  <si>
    <t>217 관서업무비</t>
  </si>
  <si>
    <t>01 정원가산업무비</t>
  </si>
  <si>
    <t>02 부서업무비</t>
  </si>
  <si>
    <t>300 경상이전</t>
  </si>
  <si>
    <t>304 연금부담금등</t>
  </si>
  <si>
    <t>01 연금부담금</t>
  </si>
  <si>
    <t>02 
국민건강보험부담금등</t>
  </si>
  <si>
    <t>03 공무직(무기계약) 부담금 관련</t>
    <phoneticPr fontId="4" type="noConversion"/>
  </si>
  <si>
    <t>05 기간제근로자 부담금 관련</t>
    <phoneticPr fontId="4" type="noConversion"/>
  </si>
  <si>
    <t>306 출연금</t>
  </si>
  <si>
    <t>13 지방공기업평가원
출연금</t>
  </si>
  <si>
    <t>319 지방공기업협의체부담금</t>
    <phoneticPr fontId="4" type="noConversion"/>
  </si>
  <si>
    <t>800 예비비및기타</t>
    <phoneticPr fontId="4" type="noConversion"/>
  </si>
  <si>
    <t>802 반환금 기타</t>
  </si>
  <si>
    <t>ESG 경영 체계화</t>
    <phoneticPr fontId="3" type="noConversion"/>
  </si>
  <si>
    <t>207 연구개발비</t>
  </si>
  <si>
    <t>01 연구용역비</t>
    <phoneticPr fontId="4" type="noConversion"/>
  </si>
  <si>
    <t>02 전산개발비</t>
    <phoneticPr fontId="4" type="noConversion"/>
  </si>
  <si>
    <t>300 경상이전</t>
    <phoneticPr fontId="3" type="noConversion"/>
  </si>
  <si>
    <t>301  일반보전금</t>
  </si>
  <si>
    <t>09 행사실비지원금</t>
  </si>
  <si>
    <t>12 기타보상금</t>
  </si>
  <si>
    <t>303  포상금</t>
  </si>
  <si>
    <t>01 포상금</t>
  </si>
  <si>
    <t>100 인건비</t>
  </si>
  <si>
    <t>101 인건비</t>
  </si>
  <si>
    <t>01 보수</t>
  </si>
  <si>
    <t>03 무기계약근로자보수</t>
    <phoneticPr fontId="4" type="noConversion"/>
  </si>
  <si>
    <t>04 기간제근로자보수</t>
  </si>
  <si>
    <t>107 
퇴직급여</t>
  </si>
  <si>
    <t>109 평가급 및 성과금 등</t>
  </si>
  <si>
    <t>01 일반직평가급등</t>
  </si>
  <si>
    <t>02 무기계약근로자평가급등</t>
    <phoneticPr fontId="4" type="noConversion"/>
  </si>
  <si>
    <t>자본예산</t>
  </si>
  <si>
    <t>행정사무자산 구입(공기구비품)</t>
    <phoneticPr fontId="3" type="noConversion"/>
  </si>
  <si>
    <t>400 자본지출</t>
    <phoneticPr fontId="4" type="noConversion"/>
  </si>
  <si>
    <t>405 자산취득비</t>
  </si>
  <si>
    <t>12 수탁자산취득비</t>
  </si>
  <si>
    <t>예비비</t>
    <phoneticPr fontId="3" type="noConversion"/>
  </si>
  <si>
    <t>800 예비비 및 기타</t>
    <phoneticPr fontId="4" type="noConversion"/>
  </si>
  <si>
    <t>801 예비비</t>
    <phoneticPr fontId="3" type="noConversion"/>
  </si>
  <si>
    <t>01 일반예비비</t>
    <phoneticPr fontId="3" type="noConversion"/>
  </si>
  <si>
    <t>[일반수용비]</t>
  </si>
  <si>
    <t>○ 사무용품, 위생용품 구입</t>
    <phoneticPr fontId="4" type="noConversion"/>
  </si>
  <si>
    <t xml:space="preserve">  - 복사용지 구입: 23,000원 * 12박스 * 12월</t>
    <phoneticPr fontId="4" type="noConversion"/>
  </si>
  <si>
    <t>=</t>
  </si>
  <si>
    <t xml:space="preserve">  - 사무용품 구입: 200,000원  * 12월</t>
    <phoneticPr fontId="4" type="noConversion"/>
  </si>
  <si>
    <t xml:space="preserve">  - 위생용품(종량제봉투 등) 구입: 400,000원 * 12월</t>
    <phoneticPr fontId="4" type="noConversion"/>
  </si>
  <si>
    <t>○ 전산소모 비품비(토너, 드럼)</t>
  </si>
  <si>
    <t xml:space="preserve">  - 컬러복합기 토너: 200,000원 * 20개</t>
    <phoneticPr fontId="4" type="noConversion"/>
  </si>
  <si>
    <t xml:space="preserve">  - 컬러복합기 폐토너통: 110,000원 * 10개</t>
    <phoneticPr fontId="4" type="noConversion"/>
  </si>
  <si>
    <t xml:space="preserve">  - 흑백복합기 추가인쇄료: 11원 * 100,000매</t>
    <phoneticPr fontId="4" type="noConversion"/>
  </si>
  <si>
    <t xml:space="preserve">  - 임원실 토너: 200,000원 * 3개</t>
    <phoneticPr fontId="4" type="noConversion"/>
  </si>
  <si>
    <t xml:space="preserve">  - 전산 소모품: 20,000원 * 20회</t>
    <phoneticPr fontId="4" type="noConversion"/>
  </si>
  <si>
    <t>○ 개인정보 홍보물품 등 홍보물(현수막, 간판, 상패 등) 제작: 2,600,000원 * 1식</t>
    <phoneticPr fontId="4" type="noConversion"/>
  </si>
  <si>
    <t>○ 신문구독료</t>
  </si>
  <si>
    <t xml:space="preserve">  - 서울신문: 20,000원 * 1부 * 12월</t>
    <phoneticPr fontId="4" type="noConversion"/>
  </si>
  <si>
    <t xml:space="preserve">  - 광주일보: 15,000원 * 1부 * 12월</t>
    <phoneticPr fontId="4" type="noConversion"/>
  </si>
  <si>
    <t xml:space="preserve">  - 경향신문: 20,000원 * 1부 * 12월</t>
    <phoneticPr fontId="4" type="noConversion"/>
  </si>
  <si>
    <t xml:space="preserve">  - 여수넷통: 10,000원 * 1부 * 12월</t>
    <phoneticPr fontId="4" type="noConversion"/>
  </si>
  <si>
    <t xml:space="preserve">  - 매일경제: 25,000원 * 1부 * 12월</t>
    <phoneticPr fontId="4" type="noConversion"/>
  </si>
  <si>
    <t>○ 기술서적 및 업무용 자료 구입: 50,000원 * 2권 * 3월</t>
    <phoneticPr fontId="4" type="noConversion"/>
  </si>
  <si>
    <t>○ 유인물인쇄</t>
  </si>
  <si>
    <t xml:space="preserve">  - 업무보고자료: 5,000원 * 60부 * 2회</t>
    <phoneticPr fontId="4" type="noConversion"/>
  </si>
  <si>
    <t xml:space="preserve">  - 이사회 부의자료: 200,000원 * 4회</t>
    <phoneticPr fontId="4" type="noConversion"/>
  </si>
  <si>
    <t xml:space="preserve">  - 예산서, 결산서 유인물: 5,000원 * 30부 * 2종 * 2회</t>
    <phoneticPr fontId="4" type="noConversion"/>
  </si>
  <si>
    <t xml:space="preserve">  - 내부경영성과 평가 결과보고: 5,000원 * 20부</t>
    <phoneticPr fontId="4" type="noConversion"/>
  </si>
  <si>
    <t xml:space="preserve">  - 내부경영성과 평가 편람: 5,000원 * 20부</t>
    <phoneticPr fontId="4" type="noConversion"/>
  </si>
  <si>
    <t xml:space="preserve">  - 경영평가실적보고서: 16,000원 * 20부</t>
    <phoneticPr fontId="4" type="noConversion"/>
  </si>
  <si>
    <t xml:space="preserve">  - 복사/제본: 10,000원 * 5종 * 10회</t>
    <phoneticPr fontId="4" type="noConversion"/>
  </si>
  <si>
    <t>○ 기록물 관리(기록관 환경정비 물품 구입 등): 200,000원 * 2개</t>
    <phoneticPr fontId="4" type="noConversion"/>
  </si>
  <si>
    <t>○ 소프트웨어 구매 및 리스료</t>
    <phoneticPr fontId="4" type="noConversion"/>
  </si>
  <si>
    <t xml:space="preserve">  - 한글 2022: 250,000원 * 1대</t>
    <phoneticPr fontId="4" type="noConversion"/>
  </si>
  <si>
    <t xml:space="preserve">  - Microsoft Office: 420,000원 * 1대</t>
    <phoneticPr fontId="4" type="noConversion"/>
  </si>
  <si>
    <t xml:space="preserve">  - 알약: 26,000원 * 34대</t>
    <phoneticPr fontId="4" type="noConversion"/>
  </si>
  <si>
    <t>○ 공단 업무용 수첩 제작: 50,000원 * 80부</t>
    <phoneticPr fontId="4" type="noConversion"/>
  </si>
  <si>
    <t>○ TV,신문,잡지등에 의한 공고료: 6,600,000원*1식</t>
    <phoneticPr fontId="4" type="noConversion"/>
  </si>
  <si>
    <t>○ 청사 관리비: 200,000원 * 12월</t>
    <phoneticPr fontId="4" type="noConversion"/>
  </si>
  <si>
    <t>○ 소비자중심경영 서비스 제공 관리</t>
    <phoneticPr fontId="4" type="noConversion"/>
  </si>
  <si>
    <t xml:space="preserve">  - 고객정보제공 및 수요분석 설문조사: 10,000원 * 20명 * 1회</t>
    <phoneticPr fontId="4" type="noConversion"/>
  </si>
  <si>
    <t xml:space="preserve">  - 고객응대표준매뉴얼 인쇄물 제작: 15,000원 * 30권 * 1회</t>
    <phoneticPr fontId="4" type="noConversion"/>
  </si>
  <si>
    <t>○ 적극행정 및 청렴캠페인 관련 직원 홍보물 제작: 800,000원 * 1회</t>
    <phoneticPr fontId="4" type="noConversion"/>
  </si>
  <si>
    <t>[위원회 등 운영수당]</t>
  </si>
  <si>
    <t>○ 이사회 참석수당</t>
  </si>
  <si>
    <t xml:space="preserve">  - 기본(참석수당): 100,000원 * 4명 * 9회</t>
    <phoneticPr fontId="4" type="noConversion"/>
  </si>
  <si>
    <t xml:space="preserve">  - 초과(2시간이상): 50,000원 * 4명 * 3회</t>
    <phoneticPr fontId="4" type="noConversion"/>
  </si>
  <si>
    <t>○ 임원추천위원회 참석/심사 수당</t>
  </si>
  <si>
    <t xml:space="preserve">  - 기본(참석수당): 100,000원 * 7명 * 5회</t>
    <phoneticPr fontId="4" type="noConversion"/>
  </si>
  <si>
    <t xml:space="preserve">  - 초과(2시간이상): 50,000원 * 7명 * 2회</t>
    <phoneticPr fontId="4" type="noConversion"/>
  </si>
  <si>
    <t>○ 인사(징계)위원회 참석수당</t>
  </si>
  <si>
    <t xml:space="preserve">  - 기본(참석수당): 100,000원 * 3명 * 8회</t>
    <phoneticPr fontId="4" type="noConversion"/>
  </si>
  <si>
    <t xml:space="preserve">  - 초과(2시간이상): 50,000원 * 3명 * 8회</t>
    <phoneticPr fontId="4" type="noConversion"/>
  </si>
  <si>
    <t>○ 계약 심의위원회 참석/심사수당: 100,000원 * 5명 * 1회</t>
    <phoneticPr fontId="4" type="noConversion"/>
  </si>
  <si>
    <t>○ 소프트웨어사업 과업심의위원회 참석수당: 100,000원 * 3명 * 1회</t>
    <phoneticPr fontId="4" type="noConversion"/>
  </si>
  <si>
    <t>○ 기록물평가심의회 참석수당</t>
  </si>
  <si>
    <t xml:space="preserve">  - 외부위원 참석수당: 100,000원 * 2명 * 1회</t>
    <phoneticPr fontId="4" type="noConversion"/>
  </si>
  <si>
    <t xml:space="preserve">  - 외부위원 원격지 교통비: 50,000원 * 1명</t>
    <phoneticPr fontId="4" type="noConversion"/>
  </si>
  <si>
    <t>○ 혁신 과제(우수사례) 선정 위원 참석수당: 100,000원 * 5명 * 2회</t>
    <phoneticPr fontId="4" type="noConversion"/>
  </si>
  <si>
    <t>○ ESG경영위원회 참석수당: 100,000원 * 7명 * 3회</t>
    <phoneticPr fontId="4" type="noConversion"/>
  </si>
  <si>
    <t>○ 성과관리 위원회 참석/심사수당: 100,000원 * 4명 * 2회</t>
    <phoneticPr fontId="4" type="noConversion"/>
  </si>
  <si>
    <t>○ 주민참여위원회 참석수당: 100,000원 * 5명 * 1회</t>
    <phoneticPr fontId="4" type="noConversion"/>
  </si>
  <si>
    <t>○ 적극행정 지원위원회 참석수당: 100,000원 * 4명 * 2회</t>
    <phoneticPr fontId="4" type="noConversion"/>
  </si>
  <si>
    <t>○ 직장 내 괴롭힘 심의위원회 참석수당: 100,000원 * 5명 * 3회</t>
    <phoneticPr fontId="4" type="noConversion"/>
  </si>
  <si>
    <t>○ 성희롱·성폭력·스토킹 고충심의위원회 참석수당: 100,000원 * 5명 * 2회</t>
    <phoneticPr fontId="4" type="noConversion"/>
  </si>
  <si>
    <r>
      <t xml:space="preserve">○ </t>
    </r>
    <r>
      <rPr>
        <sz val="10"/>
        <color rgb="FFFF0000"/>
        <rFont val="굴림"/>
        <family val="3"/>
        <charset val="129"/>
      </rPr>
      <t xml:space="preserve">(법정) </t>
    </r>
    <r>
      <rPr>
        <sz val="10"/>
        <color theme="1"/>
        <rFont val="굴림"/>
        <family val="3"/>
        <charset val="129"/>
      </rPr>
      <t>건강관리실 기구 및 약품 구입비: 500,000원 * 1회</t>
    </r>
    <phoneticPr fontId="4" type="noConversion"/>
  </si>
  <si>
    <r>
      <t>○</t>
    </r>
    <r>
      <rPr>
        <sz val="10"/>
        <color rgb="FFFF0000"/>
        <rFont val="굴림"/>
        <family val="3"/>
        <charset val="129"/>
      </rPr>
      <t xml:space="preserve"> </t>
    </r>
    <r>
      <rPr>
        <sz val="10"/>
        <rFont val="굴림"/>
        <family val="3"/>
        <charset val="129"/>
      </rPr>
      <t>공상치료비: 500,000원 * 12개월</t>
    </r>
    <phoneticPr fontId="4" type="noConversion"/>
  </si>
  <si>
    <t>[행사운영비]</t>
    <phoneticPr fontId="4" type="noConversion"/>
  </si>
  <si>
    <t>○ 창립기념일, 정년퇴임식 행사 등: 5,000,000원 * 2회</t>
    <phoneticPr fontId="4" type="noConversion"/>
  </si>
  <si>
    <t>○ 직원 화합 워크숍: 4,800,000원 * 1회</t>
    <phoneticPr fontId="4" type="noConversion"/>
  </si>
  <si>
    <r>
      <t>○</t>
    </r>
    <r>
      <rPr>
        <sz val="10"/>
        <color rgb="FFFF0000"/>
        <rFont val="굴림"/>
        <family val="3"/>
        <charset val="129"/>
      </rPr>
      <t xml:space="preserve"> (신규) </t>
    </r>
    <r>
      <rPr>
        <sz val="10"/>
        <color theme="1"/>
        <rFont val="굴림"/>
        <family val="3"/>
        <charset val="129"/>
      </rPr>
      <t>체육대회 행사</t>
    </r>
    <r>
      <rPr>
        <sz val="10"/>
        <rFont val="굴림"/>
        <family val="3"/>
        <charset val="129"/>
      </rPr>
      <t>: 10,000,000원 * 1회</t>
    </r>
    <phoneticPr fontId="4" type="noConversion"/>
  </si>
  <si>
    <t>[지급수수료]</t>
  </si>
  <si>
    <t>○ 정보보안 시스템 수수료: 860,000원 * 12월</t>
    <phoneticPr fontId="4" type="noConversion"/>
  </si>
  <si>
    <t>○ 직원 채용 위탁수수료(상.하반기,수시): 22,000,000원 * 3회</t>
    <phoneticPr fontId="4" type="noConversion"/>
  </si>
  <si>
    <t>○ 자문 노무사 자문료: 400,000원 * 2명 * 12월</t>
    <phoneticPr fontId="4" type="noConversion"/>
  </si>
  <si>
    <t>○ 법률 고문 자문료: 400,000원 * 1명 * 12월</t>
    <phoneticPr fontId="4" type="noConversion"/>
  </si>
  <si>
    <t>○ 사건수임료</t>
  </si>
  <si>
    <t xml:space="preserve">  - 노무관련 사건 수임료: 3,300,000원 * 3회</t>
    <phoneticPr fontId="4" type="noConversion"/>
  </si>
  <si>
    <t xml:space="preserve">  - 변호사 사건 수임료: 5,500,000원 * 3회</t>
    <phoneticPr fontId="4" type="noConversion"/>
  </si>
  <si>
    <t>○ 회계감사 수수료: 12,000,000원 * 1회</t>
    <phoneticPr fontId="4" type="noConversion"/>
  </si>
  <si>
    <t>○ 기타 지급수수료</t>
    <phoneticPr fontId="4" type="noConversion"/>
  </si>
  <si>
    <t xml:space="preserve">  - 무인방범 근태관리시스템 수수료: 88,000원 * 12월</t>
    <phoneticPr fontId="4" type="noConversion"/>
  </si>
  <si>
    <t xml:space="preserve">  - 법인등기부등본 변경 등 업무수수료: 300,000원 * 4회</t>
    <phoneticPr fontId="4" type="noConversion"/>
  </si>
  <si>
    <t xml:space="preserve">  - 고속도로 통행료, 주차료 및 차고료: 100,000원 * 6월</t>
    <phoneticPr fontId="4" type="noConversion"/>
  </si>
  <si>
    <t>○ 폐기대상 기록물 파쇄 수수료: 500,000원 * 1회</t>
    <phoneticPr fontId="4" type="noConversion"/>
  </si>
  <si>
    <t>○ 기록관리시스템 전자기록물 이관 용역비: 6,600,000원 * 1회</t>
    <phoneticPr fontId="4" type="noConversion"/>
  </si>
  <si>
    <r>
      <t xml:space="preserve">○ </t>
    </r>
    <r>
      <rPr>
        <sz val="10"/>
        <color rgb="FFFF0000"/>
        <rFont val="굴림"/>
        <family val="3"/>
        <charset val="129"/>
      </rPr>
      <t>(법정)</t>
    </r>
    <r>
      <rPr>
        <sz val="10"/>
        <rFont val="굴림"/>
        <family val="3"/>
        <charset val="129"/>
      </rPr>
      <t xml:space="preserve"> 산업보건의 업무수행 수수료: 300,000원 * 12회</t>
    </r>
    <phoneticPr fontId="4" type="noConversion"/>
  </si>
  <si>
    <r>
      <t xml:space="preserve">○ </t>
    </r>
    <r>
      <rPr>
        <sz val="10"/>
        <color rgb="FFFF0000"/>
        <rFont val="굴림"/>
        <family val="3"/>
        <charset val="129"/>
      </rPr>
      <t>(신규)</t>
    </r>
    <r>
      <rPr>
        <sz val="10"/>
        <rFont val="굴림"/>
        <family val="3"/>
        <charset val="129"/>
      </rPr>
      <t xml:space="preserve"> 스마트 안전관리 플랫폼 구축: 220,000원 * 12개월</t>
    </r>
    <phoneticPr fontId="4" type="noConversion"/>
  </si>
  <si>
    <r>
      <t xml:space="preserve">○ </t>
    </r>
    <r>
      <rPr>
        <sz val="10"/>
        <color rgb="FFFF0000"/>
        <rFont val="굴림"/>
        <family val="3"/>
        <charset val="129"/>
      </rPr>
      <t>(신규)</t>
    </r>
    <r>
      <rPr>
        <sz val="10"/>
        <rFont val="굴림"/>
        <family val="3"/>
        <charset val="129"/>
      </rPr>
      <t xml:space="preserve"> 안전운전인증 취득 수수료: 11,600,000원 * 1회</t>
    </r>
    <phoneticPr fontId="4" type="noConversion"/>
  </si>
  <si>
    <t>[본부 일괄 편성]</t>
  </si>
  <si>
    <t>○ 교육여비: 450,000원 * 15명 * 1회</t>
    <phoneticPr fontId="4" type="noConversion"/>
  </si>
  <si>
    <t>○ 관리자과정교육(2급이상): 500,000원 * 3명 * 1회</t>
    <phoneticPr fontId="4" type="noConversion"/>
  </si>
  <si>
    <t>○ 실무자과정교육(부장급): 400,000원 * 8명 * 1회</t>
    <phoneticPr fontId="4" type="noConversion"/>
  </si>
  <si>
    <t>○ 실무자과정교육(4급이하): 330,000원 * 43명 * 1회</t>
    <phoneticPr fontId="4" type="noConversion"/>
  </si>
  <si>
    <r>
      <t xml:space="preserve">○ </t>
    </r>
    <r>
      <rPr>
        <sz val="10"/>
        <color rgb="FFFF0000"/>
        <rFont val="굴림"/>
        <family val="3"/>
        <charset val="129"/>
      </rPr>
      <t xml:space="preserve">(법정) </t>
    </r>
    <r>
      <rPr>
        <sz val="10"/>
        <color theme="1"/>
        <rFont val="굴림"/>
        <family val="3"/>
        <charset val="129"/>
      </rPr>
      <t>기술분야 담당자 직무 교육</t>
    </r>
    <phoneticPr fontId="4" type="noConversion"/>
  </si>
  <si>
    <t xml:space="preserve">  - 건설기계(지게차) 교육: 32,000원 * 4명</t>
    <phoneticPr fontId="4" type="noConversion"/>
  </si>
  <si>
    <t xml:space="preserve">  - 기계설비유지 직무교육: 300,000원 * 1명</t>
    <phoneticPr fontId="4" type="noConversion"/>
  </si>
  <si>
    <t xml:space="preserve">  - 대기,수질,폐기물처리 환경관리인: 100,000원 * 1명</t>
    <phoneticPr fontId="4" type="noConversion"/>
  </si>
  <si>
    <r>
      <t xml:space="preserve">  -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 xml:space="preserve"> 일반대기(면제) 환경기술인 교육: 45,000원 * 1명</t>
    </r>
    <phoneticPr fontId="4" type="noConversion"/>
  </si>
  <si>
    <t xml:space="preserve">  - 목욕업 위생교육: 60,000원 * 1명</t>
    <phoneticPr fontId="4" type="noConversion"/>
  </si>
  <si>
    <t xml:space="preserve">  - 보일러 검사기기대상 관리자: 100,000원 * 3명</t>
    <phoneticPr fontId="4" type="noConversion"/>
  </si>
  <si>
    <t xml:space="preserve">  - 소방안전 관리자 보수교육: 55,000원 * 20명</t>
    <phoneticPr fontId="4" type="noConversion"/>
  </si>
  <si>
    <t xml:space="preserve">  - 수도시설 관리자: 100,000원 * 2명</t>
    <phoneticPr fontId="4" type="noConversion"/>
  </si>
  <si>
    <t xml:space="preserve">  - 도시가스 안전관리자: 100,000원 * 4명</t>
    <phoneticPr fontId="4" type="noConversion"/>
  </si>
  <si>
    <t xml:space="preserve">  - 통합환경관리인 보수교육: 100,000원 * 1명</t>
    <phoneticPr fontId="4" type="noConversion"/>
  </si>
  <si>
    <t xml:space="preserve">  - 승강기 안전관리자: 100,000원 * 3명</t>
    <phoneticPr fontId="4" type="noConversion"/>
  </si>
  <si>
    <t xml:space="preserve">  - 전기안전관리자: 150,000원 * 3명</t>
    <phoneticPr fontId="4" type="noConversion"/>
  </si>
  <si>
    <t xml:space="preserve">  - 고압가스사용자자동차운전자(온라인) 교육: 21,000원 * 10명</t>
    <phoneticPr fontId="4" type="noConversion"/>
  </si>
  <si>
    <t xml:space="preserve">  - 간호사 보수교육: 200,000원*1명</t>
    <phoneticPr fontId="4" type="noConversion"/>
  </si>
  <si>
    <t xml:space="preserve">  - 관리감독자 법정교육: 220,000원*25명</t>
    <phoneticPr fontId="4" type="noConversion"/>
  </si>
  <si>
    <t xml:space="preserve">  - 안전보건관리책임자 신규교육: 70,000원*1명</t>
    <phoneticPr fontId="4" type="noConversion"/>
  </si>
  <si>
    <t xml:space="preserve">  - 안전관리자 보수교육: 200,000원 * 2명</t>
    <phoneticPr fontId="4" type="noConversion"/>
  </si>
  <si>
    <t xml:space="preserve">  - 보건관리자 보수교육: 300,000원 * 1명</t>
    <phoneticPr fontId="4" type="noConversion"/>
  </si>
  <si>
    <t xml:space="preserve">  - 공공기관 에너지 담당자 교육: 250,000원 * 10명</t>
    <phoneticPr fontId="4" type="noConversion"/>
  </si>
  <si>
    <t xml:space="preserve">  - 재난안전분야 종사자 교육: 600,000원 * 2명</t>
    <phoneticPr fontId="4" type="noConversion"/>
  </si>
  <si>
    <t>○ 안전보건경영시스템 내부심사원 교육: 450,000원 * 2명</t>
    <phoneticPr fontId="4" type="noConversion"/>
  </si>
  <si>
    <r>
      <t xml:space="preserve">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 xml:space="preserve"> 산업안전보건법과 중대재해처벌법의 이해 교육 이수: 120,000원 * 4명</t>
    </r>
    <phoneticPr fontId="4" type="noConversion"/>
  </si>
  <si>
    <t>○ 환경경영시스템 내부심사원 교육: 440,000원 * 2명</t>
    <phoneticPr fontId="4" type="noConversion"/>
  </si>
  <si>
    <t>○ 시설관리경영시스템 내부심사원 교육: 440,000원 * 2명</t>
    <phoneticPr fontId="4" type="noConversion"/>
  </si>
  <si>
    <t>○ 시설물 유지관리 역량강화 교육: 400,000원 * 8명</t>
    <phoneticPr fontId="4" type="noConversion"/>
  </si>
  <si>
    <r>
      <t xml:space="preserve">○ </t>
    </r>
    <r>
      <rPr>
        <sz val="10"/>
        <color rgb="FFFF0000"/>
        <rFont val="굴림"/>
        <family val="3"/>
        <charset val="129"/>
      </rPr>
      <t>(경영평가)</t>
    </r>
    <r>
      <rPr>
        <sz val="10"/>
        <color theme="1"/>
        <rFont val="굴림"/>
        <family val="3"/>
        <charset val="129"/>
      </rPr>
      <t xml:space="preserve"> 전략기획 역량강화 교육: 2,000,000원 * 1회</t>
    </r>
    <phoneticPr fontId="4" type="noConversion"/>
  </si>
  <si>
    <t>○ 소비자중심경영 전문기관 위탁교육비</t>
  </si>
  <si>
    <t xml:space="preserve">  - 전문강사 초빙 직원 친절 교육: 600,000원 * 1명 * 2회</t>
    <phoneticPr fontId="4" type="noConversion"/>
  </si>
  <si>
    <t xml:space="preserve">  - 고객접점직원 직무역량교육비: 350,000원 * 3명 * 2회</t>
    <phoneticPr fontId="4" type="noConversion"/>
  </si>
  <si>
    <t xml:space="preserve">  - 소비자중심경영 정기교육비: 507,000원 * 1회 * 2명</t>
    <phoneticPr fontId="4" type="noConversion"/>
  </si>
  <si>
    <t xml:space="preserve">  - 사내 CS 강사 양성교육 : 600,000원 * 1회</t>
    <phoneticPr fontId="4" type="noConversion"/>
  </si>
  <si>
    <t>○ 부패방지(청렴) 교육 외부 강사료: 750,000원 * 1명 * 1회</t>
    <phoneticPr fontId="4" type="noConversion"/>
  </si>
  <si>
    <t>○ 부패방지 및 준법경영시스템 내부심사원 교육비: 400,000원*1인*1회</t>
    <phoneticPr fontId="4" type="noConversion"/>
  </si>
  <si>
    <t>[임차료]</t>
  </si>
  <si>
    <t>○ 차량 임차료(전기차, 사무실용 승용): 1,000,000원 * 1대 * 12월</t>
    <phoneticPr fontId="4" type="noConversion"/>
  </si>
  <si>
    <t>○ 차량 임차료(수소차, 사무실용 승용): 570,000원 * 1대 * 12월</t>
    <phoneticPr fontId="4" type="noConversion"/>
  </si>
  <si>
    <r>
      <t xml:space="preserve">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 xml:space="preserve"> 파쇄기 임차료: 70,000원 * 1대 * 12월</t>
    </r>
    <phoneticPr fontId="4" type="noConversion"/>
  </si>
  <si>
    <t xml:space="preserve">○ 얼음정수기 임차료 </t>
    <phoneticPr fontId="4" type="noConversion"/>
  </si>
  <si>
    <t xml:space="preserve">  - 본부사무실 얼음정수기 임차료: 47,900원 * 1대 * 12월</t>
    <phoneticPr fontId="4" type="noConversion"/>
  </si>
  <si>
    <t xml:space="preserve">  - 이사장실 얼음정수기 임차료: 53,900원 * 1대 * 12월</t>
    <phoneticPr fontId="4" type="noConversion"/>
  </si>
  <si>
    <t>○ 커피머신 임차료</t>
    <phoneticPr fontId="4" type="noConversion"/>
  </si>
  <si>
    <t xml:space="preserve">  - 본부사무실 커피머신 임차료: 26,000원 * 1대 * 12월</t>
    <phoneticPr fontId="4" type="noConversion"/>
  </si>
  <si>
    <t xml:space="preserve">  - 이사장실 커피머신 임차료: 23,900원 * 1대 * 12월</t>
    <phoneticPr fontId="4" type="noConversion"/>
  </si>
  <si>
    <t>○ 컬러복합기 렌탈료: 613,000원 * 4회(분기)</t>
    <phoneticPr fontId="4" type="noConversion"/>
  </si>
  <si>
    <t>○ 흑백복합기 렌탈료: 450,000원 * 4회(분기)</t>
    <phoneticPr fontId="4" type="noConversion"/>
  </si>
  <si>
    <t xml:space="preserve">○ 공기청정기 임차료        </t>
    <phoneticPr fontId="4" type="noConversion"/>
  </si>
  <si>
    <t xml:space="preserve">  - 본부사무실 공기청정기 임차료: 40,000원 * 1대 * 12월</t>
    <phoneticPr fontId="4" type="noConversion"/>
  </si>
  <si>
    <t xml:space="preserve">  - 이사장실, 본부장실 공기청정기 임차료: 22,900원 * 3대 * 12월</t>
    <phoneticPr fontId="4" type="noConversion"/>
  </si>
  <si>
    <t>○ 비데 임차료: 15,900원 * 4대 * 12월</t>
    <phoneticPr fontId="4" type="noConversion"/>
  </si>
  <si>
    <t xml:space="preserve">○ 사무실 임차료: 6,300,000원 * 12월 </t>
    <phoneticPr fontId="4" type="noConversion"/>
  </si>
  <si>
    <t>[회의비]</t>
  </si>
  <si>
    <t>○ 임원추천위원회 간담회 및 운영비: 25,000원 * 7명 * 3회</t>
    <phoneticPr fontId="4" type="noConversion"/>
  </si>
  <si>
    <t>○ 이사회 간담회 및 운영비: 25,000원 * 10명 * 4회</t>
    <phoneticPr fontId="4" type="noConversion"/>
  </si>
  <si>
    <t>○ 인사 위원회 간담회 및 운영비: 25,000원 * 5명 * 3회</t>
    <phoneticPr fontId="4" type="noConversion"/>
  </si>
  <si>
    <t>○ 노사협의회 운영비: 25,000원 * 10명 * 2회</t>
    <phoneticPr fontId="4" type="noConversion"/>
  </si>
  <si>
    <t>○ 개인정보 자문회 등 기타 위원회별 간담회 및 운영비: 25,000원 * 10명 * 1회</t>
    <phoneticPr fontId="4" type="noConversion"/>
  </si>
  <si>
    <t>○ ESG경영위원회 간담회 및 운영비: 25,000원 * 9명  * 1회</t>
    <phoneticPr fontId="4" type="noConversion"/>
  </si>
  <si>
    <t>○ 산업안전보건위원회 간담회: 25,000원 * 16명 * 2회</t>
    <phoneticPr fontId="4" type="noConversion"/>
  </si>
  <si>
    <t>○ 소비자중심경영 참여예산</t>
    <phoneticPr fontId="4" type="noConversion"/>
  </si>
  <si>
    <t xml:space="preserve">   - 주민참여예산위원회 간담회: 25,000원 * 7명 * 1회</t>
    <phoneticPr fontId="4" type="noConversion"/>
  </si>
  <si>
    <t xml:space="preserve">   - 고객모니터링단 간담회: 25,000원 * 12명 * 1회</t>
    <phoneticPr fontId="4" type="noConversion"/>
  </si>
  <si>
    <r>
      <t>○</t>
    </r>
    <r>
      <rPr>
        <sz val="10"/>
        <color theme="1"/>
        <rFont val="Calibri"/>
        <family val="2"/>
      </rPr>
      <t xml:space="preserve">  </t>
    </r>
    <r>
      <rPr>
        <sz val="10"/>
        <color theme="1"/>
        <rFont val="굴림"/>
        <family val="3"/>
        <charset val="129"/>
      </rPr>
      <t>적극행정 지원위원회 간담회: 25,000원 * 4명 * 1회</t>
    </r>
    <phoneticPr fontId="4" type="noConversion"/>
  </si>
  <si>
    <r>
      <t>○</t>
    </r>
    <r>
      <rPr>
        <sz val="10"/>
        <color theme="1"/>
        <rFont val="Calibri"/>
        <family val="2"/>
      </rPr>
      <t xml:space="preserve"> 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 xml:space="preserve"> 직장 내 괴롭힘 심의위원회 등 간담회</t>
    </r>
    <phoneticPr fontId="4" type="noConversion"/>
  </si>
  <si>
    <t xml:space="preserve">   - 직장 내 괴롭힘 심의위원회 간담회: 25,000원 * 5명 * 2회</t>
    <phoneticPr fontId="4" type="noConversion"/>
  </si>
  <si>
    <t xml:space="preserve">   - 성희롱·성폭력 고충심의위원회 간담회: 25,000원 * 5명 * 1회</t>
    <phoneticPr fontId="4" type="noConversion"/>
  </si>
  <si>
    <t>[복리후생비]</t>
  </si>
  <si>
    <t>○ 맞춤형 복지제도(공단 전 직원)</t>
  </si>
  <si>
    <t xml:space="preserve">  - 복지포인트(일반직,기능직,공무직,환경사원): 1,100,000원 * 466명</t>
    <phoneticPr fontId="4" type="noConversion"/>
  </si>
  <si>
    <t xml:space="preserve">  - 기간제근로자 상품권: 300,000원 * 50명</t>
    <phoneticPr fontId="4" type="noConversion"/>
  </si>
  <si>
    <t>○ 건강문화체험활동비 지원(일반직, 기능직, 공무직, 환경사원)</t>
    <phoneticPr fontId="4" type="noConversion"/>
  </si>
  <si>
    <t xml:space="preserve">  - 임원,일반직,기능직,환경사원: 500,000원 * 358명</t>
    <phoneticPr fontId="4" type="noConversion"/>
  </si>
  <si>
    <t xml:space="preserve">  - 공무직: 1,000,000원 * 108명</t>
    <phoneticPr fontId="4" type="noConversion"/>
  </si>
  <si>
    <t>○ 건강검진 지원비(일반직, 기능직, 공무직, 환경사원)</t>
    <phoneticPr fontId="4" type="noConversion"/>
  </si>
  <si>
    <t xml:space="preserve">  - 짝수 년생 직원: 300,000원 * 239명</t>
    <phoneticPr fontId="4" type="noConversion"/>
  </si>
  <si>
    <t>○ 신규직원 채용 신체검사비</t>
  </si>
  <si>
    <t xml:space="preserve">  - 일반 채용 신체검사: 40,000원 * 48명</t>
    <phoneticPr fontId="4" type="noConversion"/>
  </si>
  <si>
    <t xml:space="preserve">  - 환경미화원 채용 신체검사: 45,000원 * 4명</t>
    <phoneticPr fontId="4" type="noConversion"/>
  </si>
  <si>
    <t>○ 야간근무자 급량비: 9,000원 * 20명 * 8일 * 12월</t>
    <phoneticPr fontId="4" type="noConversion"/>
  </si>
  <si>
    <r>
      <t xml:space="preserve">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theme="1"/>
        <rFont val="굴림"/>
        <family val="3"/>
        <charset val="129"/>
      </rPr>
      <t>특수건강진단비용</t>
    </r>
    <phoneticPr fontId="4" type="noConversion"/>
  </si>
  <si>
    <t xml:space="preserve">  - 주차장 야간작업자: 45,000원 * 35명</t>
    <phoneticPr fontId="4" type="noConversion"/>
  </si>
  <si>
    <t xml:space="preserve">  - 휴양림 시설관리자: 140,000원 * 5명</t>
    <phoneticPr fontId="4" type="noConversion"/>
  </si>
  <si>
    <t xml:space="preserve">  - 도시미화부 야간작업: 45,000원 * 2명</t>
    <phoneticPr fontId="4" type="noConversion"/>
  </si>
  <si>
    <t xml:space="preserve">  - 도시미화부 정비고: 90,000원 * 3명</t>
    <phoneticPr fontId="4" type="noConversion"/>
  </si>
  <si>
    <t xml:space="preserve">  - 체육시설부 기술직: 150,000원 * 10명</t>
    <phoneticPr fontId="4" type="noConversion"/>
  </si>
  <si>
    <t xml:space="preserve">  - 환경자원사업소 근무자: 178,000원 * 45명</t>
    <phoneticPr fontId="4" type="noConversion"/>
  </si>
  <si>
    <t>○ 환경미화원 예방접종</t>
  </si>
  <si>
    <t xml:space="preserve">  - 환경미화원 폐렴구균 예방접종: 100,000원 * 5명</t>
    <phoneticPr fontId="4" type="noConversion"/>
  </si>
  <si>
    <t xml:space="preserve">  - 독감 예방접종: 35,000원 * 273명</t>
    <phoneticPr fontId="4" type="noConversion"/>
  </si>
  <si>
    <t xml:space="preserve">  - (환경미화원) 파상풍 예방접종: 25,000원 * 20명</t>
    <phoneticPr fontId="4" type="noConversion"/>
  </si>
  <si>
    <r>
      <t xml:space="preserve">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 xml:space="preserve"> 파상풍 위험군 현장직 예방접종</t>
    </r>
    <phoneticPr fontId="4" type="noConversion"/>
  </si>
  <si>
    <r>
      <t xml:space="preserve">  -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 xml:space="preserve"> (환경자원사업소) 파상풍 예방접종: 25,000원 * 40명</t>
    </r>
    <phoneticPr fontId="4" type="noConversion"/>
  </si>
  <si>
    <r>
      <t xml:space="preserve">  -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 xml:space="preserve"> (봉황산자연휴양림) 파상풍 예방접종: 25,000원 * 5명</t>
    </r>
    <phoneticPr fontId="4" type="noConversion"/>
  </si>
  <si>
    <r>
      <t xml:space="preserve">○ </t>
    </r>
    <r>
      <rPr>
        <sz val="10"/>
        <color rgb="FFFF0000"/>
        <rFont val="굴림"/>
        <family val="3"/>
        <charset val="129"/>
      </rPr>
      <t xml:space="preserve">(법정) </t>
    </r>
    <r>
      <rPr>
        <sz val="10"/>
        <color theme="1"/>
        <rFont val="굴림"/>
        <family val="3"/>
        <charset val="129"/>
      </rPr>
      <t>직장인 건강보험 미가입자</t>
    </r>
    <phoneticPr fontId="4" type="noConversion"/>
  </si>
  <si>
    <t xml:space="preserve">  - 직장인 건강보험 미가입자 일반검진: 30,000원 * 10명</t>
    <phoneticPr fontId="4" type="noConversion"/>
  </si>
  <si>
    <t>[공공요금및제세]</t>
  </si>
  <si>
    <t>○ 사무실 전기요금 및 상하수도료: 1,000,000원 * 12월</t>
    <phoneticPr fontId="4" type="noConversion"/>
  </si>
  <si>
    <t>○ 택배 및 우편발송 요금: 15,000원 * 10건 *12월</t>
    <phoneticPr fontId="4" type="noConversion"/>
  </si>
  <si>
    <t>○ 일반전화 및 인터넷회선요금 등: 1,045,000원 * 12월</t>
    <phoneticPr fontId="4" type="noConversion"/>
  </si>
  <si>
    <t>○ 계약 수입인지세 부담금: 20,000원 * 90건</t>
    <phoneticPr fontId="4" type="noConversion"/>
  </si>
  <si>
    <t>○ 장애인고용부담금: 1,258,000원*2월</t>
    <phoneticPr fontId="4" type="noConversion"/>
  </si>
  <si>
    <t>○ 법인균등할주민세: 250,000원 * 1회</t>
    <phoneticPr fontId="4" type="noConversion"/>
  </si>
  <si>
    <t>○ 각종 제증명발급/등기수수료: 50,000원 * 12월</t>
    <phoneticPr fontId="4" type="noConversion"/>
  </si>
  <si>
    <t xml:space="preserve">○ 회계관계직원 재정보증보험료: 164,160원 * 23명 </t>
    <phoneticPr fontId="4" type="noConversion"/>
  </si>
  <si>
    <t>○ TV수신료: 7,500원 * 2대 * 12월</t>
    <phoneticPr fontId="4" type="noConversion"/>
  </si>
  <si>
    <t>[차량유지비]</t>
  </si>
  <si>
    <t xml:space="preserve"> ○ 차량유지비(세차, 소모품등): 100,000원 * 2대 * 12월</t>
    <phoneticPr fontId="4" type="noConversion"/>
  </si>
  <si>
    <t xml:space="preserve"> ○ 차량충전비(전기, 수소): 80,000원 * 2대 * 12월 </t>
    <phoneticPr fontId="4" type="noConversion"/>
  </si>
  <si>
    <t>[국내여비]</t>
    <phoneticPr fontId="4" type="noConversion"/>
  </si>
  <si>
    <t xml:space="preserve"> ○ 관내(경영본부): 20,000원 * 10명 * 8일 * 12월</t>
    <phoneticPr fontId="4" type="noConversion"/>
  </si>
  <si>
    <t xml:space="preserve"> ○ 관외(벤치마킹 등): 110,000원 * 10명 * 2일 * 3회</t>
    <phoneticPr fontId="4" type="noConversion"/>
  </si>
  <si>
    <t>○ 우수사원 선진지 견학: 3,000,000원 * 5명 * 1회</t>
    <phoneticPr fontId="4" type="noConversion"/>
  </si>
  <si>
    <t>○ 사업 업무추진비 : 20,000,000원 * 1식</t>
  </si>
  <si>
    <t xml:space="preserve">  기본금액(1,200만원)+＜사업연도수입액*적용률(20/10,000)*손금한도액(10/100)＞</t>
    <phoneticPr fontId="4" type="noConversion"/>
  </si>
  <si>
    <t xml:space="preserve">   {(12,000,000원)+(48,000,000,000*20/10,000)*(10/100)}</t>
    <phoneticPr fontId="4" type="noConversion"/>
  </si>
  <si>
    <t>[수선유지비]</t>
    <phoneticPr fontId="4" type="noConversion"/>
  </si>
  <si>
    <t>○ 본부 사무실 에어컨 수선유지비: 2,000,000원 * 1회</t>
    <phoneticPr fontId="4" type="noConversion"/>
  </si>
  <si>
    <t>○ 사무실 전기, 선로설비등 보수비: 250,000원 * 2회</t>
    <phoneticPr fontId="4" type="noConversion"/>
  </si>
  <si>
    <t>○ 복합기(프린터) 유지보수비: 300,000원 * 2회</t>
    <phoneticPr fontId="4" type="noConversion"/>
  </si>
  <si>
    <t>○ 업무용 PC유지보수비: 250,000원 * 1회</t>
    <phoneticPr fontId="4" type="noConversion"/>
  </si>
  <si>
    <t>○ 전산프로그램 유지보수비용</t>
    <phoneticPr fontId="4" type="noConversion"/>
  </si>
  <si>
    <t xml:space="preserve">  - 기록관리시스템 유지관리비: 13,200,000원 * 4회(분기)</t>
    <phoneticPr fontId="4" type="noConversion"/>
  </si>
  <si>
    <t xml:space="preserve">  - 정부혁신(경영평가) 정부권장정책 구매실적 자동집계 시스템 유지보수비: 1,330,000원 * 12개월</t>
    <phoneticPr fontId="4" type="noConversion"/>
  </si>
  <si>
    <t xml:space="preserve">  - 개인정보접속기록관리 유지보수비: 450,000원 * 12월</t>
    <phoneticPr fontId="4" type="noConversion"/>
  </si>
  <si>
    <t xml:space="preserve">  - 개인정보접속기록관리 서버 유지보수비: 550,000원 * 12월</t>
    <phoneticPr fontId="4" type="noConversion"/>
  </si>
  <si>
    <t xml:space="preserve">  - 경영정보시스템(인사 재정 등) 유지관리비: 550,000원 * 12월</t>
    <phoneticPr fontId="4" type="noConversion"/>
  </si>
  <si>
    <t xml:space="preserve">  - 신속집행 시스템 유지관리비: 1,672,000원 * 1회</t>
    <phoneticPr fontId="4" type="noConversion"/>
  </si>
  <si>
    <t xml:space="preserve">  - 전자결재 시스템 유지보수비: 1,200,000원 * 4월</t>
    <phoneticPr fontId="4" type="noConversion"/>
  </si>
  <si>
    <t xml:space="preserve">  - 전자결재 서버 임대료: 700,000원 * 4월</t>
    <phoneticPr fontId="4" type="noConversion"/>
  </si>
  <si>
    <t xml:space="preserve">  - 더존ERP 시스템 유지보수비: 460,000원 * 4월</t>
    <phoneticPr fontId="4" type="noConversion"/>
  </si>
  <si>
    <t xml:space="preserve">  - 더존ERP 시스템 서버 임대료: 380,000원 * 4월</t>
    <phoneticPr fontId="4" type="noConversion"/>
  </si>
  <si>
    <t xml:space="preserve">  - 공단 홈페이지 유지관리보수비: 3,000,000원 * 12월</t>
    <phoneticPr fontId="4" type="noConversion"/>
  </si>
  <si>
    <t xml:space="preserve">  - 공단 홈페이지 서버 유지보수비: 1,000,000원 * 12월</t>
    <phoneticPr fontId="4" type="noConversion"/>
  </si>
  <si>
    <r>
      <t xml:space="preserve">  -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 xml:space="preserve"> 차세대 전자결재 시스템(Amaranth 10) 서버 임대료: 1,122,000원 * 12월</t>
    </r>
    <phoneticPr fontId="4" type="noConversion"/>
  </si>
  <si>
    <r>
      <t xml:space="preserve">  -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 xml:space="preserve"> 웹 한글 기안기 유지보수비: 4,900,000원 * 1회</t>
    </r>
    <phoneticPr fontId="4" type="noConversion"/>
  </si>
  <si>
    <r>
      <t xml:space="preserve">  -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 xml:space="preserve"> 성과평가시스템 서버 임대료: 880,000원 * 12월</t>
    </r>
    <phoneticPr fontId="4" type="noConversion"/>
  </si>
  <si>
    <t>○ 동호인활동, 체육대회, 생일기념품, 불우직원 지원등 사기진작경비</t>
  </si>
  <si>
    <t xml:space="preserve">    - 정원 491명(정원 466명 + 기간제 25명) * 45,000원</t>
    <phoneticPr fontId="4" type="noConversion"/>
  </si>
  <si>
    <t>○ 부서업무비</t>
  </si>
  <si>
    <t xml:space="preserve">  - 청렴감사부(5인이하): 100,000원 * 12월</t>
    <phoneticPr fontId="4" type="noConversion"/>
  </si>
  <si>
    <t xml:space="preserve">  - 안전관리부(5인이하): 100,000원 * 12월</t>
    <phoneticPr fontId="4" type="noConversion"/>
  </si>
  <si>
    <t xml:space="preserve">  - 기획혁신부(5인이하): 100,000원 * 12월</t>
    <phoneticPr fontId="4" type="noConversion"/>
  </si>
  <si>
    <t xml:space="preserve">  - 경영지원부(10인이하): 175,000원 * 12월</t>
    <phoneticPr fontId="4" type="noConversion"/>
  </si>
  <si>
    <t>(공단 경영본부 일괄편성)</t>
  </si>
  <si>
    <t xml:space="preserve">  - 국민연금: 5,018,021,000원 * 9.50% * 1/2</t>
    <phoneticPr fontId="64" type="noConversion"/>
  </si>
  <si>
    <t xml:space="preserve">  - 건강보험: 5,018,021,000원 * 7.23% * 1/2</t>
    <phoneticPr fontId="64" type="noConversion"/>
  </si>
  <si>
    <t xml:space="preserve">  - 장기요양보험: 181,402,000원 * 12.95% * 1/2</t>
    <phoneticPr fontId="64" type="noConversion"/>
  </si>
  <si>
    <t xml:space="preserve">  - 고용보험(실업급여): 5,018,021,000원 * 1.80% * 1/2</t>
    <phoneticPr fontId="64" type="noConversion"/>
  </si>
  <si>
    <t xml:space="preserve">  - 고용보험(고안직능): 5,018,021,000원 * 0.65%</t>
    <phoneticPr fontId="64" type="noConversion"/>
  </si>
  <si>
    <t xml:space="preserve">  - 산재보험: 5,018,021,000원 * (9.62/1,000)</t>
    <phoneticPr fontId="64" type="noConversion"/>
  </si>
  <si>
    <t xml:space="preserve">  - 국민연금: 25,453,466,000원 * 9.50% * 1/2 </t>
    <phoneticPr fontId="64" type="noConversion"/>
  </si>
  <si>
    <t xml:space="preserve">  - 건강보험: 25,453,466,000원 * 7.23% * 1/2</t>
    <phoneticPr fontId="64" type="noConversion"/>
  </si>
  <si>
    <t xml:space="preserve">  - 장기요양보험: 920,143,000원 * 12.95% * 1/2</t>
    <phoneticPr fontId="64" type="noConversion"/>
  </si>
  <si>
    <t xml:space="preserve">  - 고용보험(실업급여): 25,453,466,000원 * 1.80% * 1/2</t>
    <phoneticPr fontId="64" type="noConversion"/>
  </si>
  <si>
    <t xml:space="preserve">  - 고용보험(고안직능): 25,453,466,000원 * 0.65%</t>
    <phoneticPr fontId="64" type="noConversion"/>
  </si>
  <si>
    <t xml:space="preserve">  - 산재보험: 25,453,466,000원 * (9.62/1,000)</t>
    <phoneticPr fontId="64" type="noConversion"/>
  </si>
  <si>
    <r>
      <t>(</t>
    </r>
    <r>
      <rPr>
        <b/>
        <sz val="10"/>
        <color theme="1"/>
        <rFont val="맑은 고딕"/>
        <family val="3"/>
        <charset val="129"/>
      </rPr>
      <t>공단</t>
    </r>
    <r>
      <rPr>
        <b/>
        <sz val="10"/>
        <color theme="1"/>
        <rFont val="Gulim"/>
        <family val="3"/>
        <charset val="129"/>
      </rPr>
      <t xml:space="preserve"> </t>
    </r>
    <r>
      <rPr>
        <b/>
        <sz val="10"/>
        <color theme="1"/>
        <rFont val="맑은 고딕"/>
        <family val="3"/>
        <charset val="129"/>
      </rPr>
      <t>경영본부</t>
    </r>
    <r>
      <rPr>
        <b/>
        <sz val="10"/>
        <color theme="1"/>
        <rFont val="Gulim"/>
        <family val="3"/>
        <charset val="129"/>
      </rPr>
      <t xml:space="preserve"> </t>
    </r>
    <r>
      <rPr>
        <b/>
        <sz val="10"/>
        <color theme="1"/>
        <rFont val="맑은 고딕"/>
        <family val="3"/>
        <charset val="129"/>
      </rPr>
      <t>일괄편성</t>
    </r>
    <r>
      <rPr>
        <b/>
        <sz val="10"/>
        <color theme="1"/>
        <rFont val="Gulim"/>
        <family val="3"/>
        <charset val="129"/>
      </rPr>
      <t>)</t>
    </r>
    <phoneticPr fontId="4" type="noConversion"/>
  </si>
  <si>
    <t xml:space="preserve">  - 국민연금: 1,412,958,000원 * 9.50% * 1/2</t>
    <phoneticPr fontId="4" type="noConversion"/>
  </si>
  <si>
    <t xml:space="preserve">  - 건강보험: 1,412,958,000원 * 7.23% * 1/2</t>
    <phoneticPr fontId="4" type="noConversion"/>
  </si>
  <si>
    <t xml:space="preserve">  - 장기요양보험: 51,079,000원 * 12.95% * 1/2</t>
    <phoneticPr fontId="4" type="noConversion"/>
  </si>
  <si>
    <t xml:space="preserve">  - 고용보험(실업급여): 1,412,958,000원 * 1.80% * 1/2</t>
    <phoneticPr fontId="4" type="noConversion"/>
  </si>
  <si>
    <t xml:space="preserve">  - 고용보험(고안직능): 1,412,958,000원 * 0.65%</t>
    <phoneticPr fontId="4" type="noConversion"/>
  </si>
  <si>
    <t xml:space="preserve">  - 산재보험: 1,412,958,000원 * (9.62/1,000)</t>
    <phoneticPr fontId="4" type="noConversion"/>
  </si>
  <si>
    <t>○ 법령의 규정에 의거 지방공기업평가원에 출연하는 경비</t>
  </si>
  <si>
    <t xml:space="preserve">    -  2026년도 출연금: 19,400,000원 * 1회</t>
    <phoneticPr fontId="4" type="noConversion"/>
  </si>
  <si>
    <t xml:space="preserve"> ○ 한국지방공기업 협의회비</t>
    <phoneticPr fontId="4" type="noConversion"/>
  </si>
  <si>
    <t xml:space="preserve">    - 2026년도 한국지방공기업협의회 협의회비: 3,000,000원 * 1회</t>
    <phoneticPr fontId="4" type="noConversion"/>
  </si>
  <si>
    <t xml:space="preserve">    - 한국지방공기업 정책 포럼 회비: 300,000원 * 1회</t>
    <phoneticPr fontId="4" type="noConversion"/>
  </si>
  <si>
    <t xml:space="preserve"> ○ 노사관계 우수기업 인증 갱신 심사비: 5,500,000원 * 1회</t>
    <phoneticPr fontId="4" type="noConversion"/>
  </si>
  <si>
    <t xml:space="preserve"> ○ 안전보건경영시스템 사후심사: 2,508,000원 * 1회</t>
    <phoneticPr fontId="4" type="noConversion"/>
  </si>
  <si>
    <t xml:space="preserve"> ○ 환경경영시스템 사후심사: 2,222,000원 * 1회</t>
    <phoneticPr fontId="4" type="noConversion"/>
  </si>
  <si>
    <t xml:space="preserve"> ○ 시설관리경영시스템 사후심사: 4,246,000원 * 1회</t>
    <phoneticPr fontId="4" type="noConversion"/>
  </si>
  <si>
    <t xml:space="preserve"> ○ 지역사회공헌인정제 재인정 심사비: 440,000원 * 1회</t>
    <phoneticPr fontId="4" type="noConversion"/>
  </si>
  <si>
    <r>
      <t xml:space="preserve">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 xml:space="preserve"> 상생경영우수기업 재인증 심사비: 5,676,000원 * 1회</t>
    </r>
    <phoneticPr fontId="4" type="noConversion"/>
  </si>
  <si>
    <t xml:space="preserve"> ○ ESG 경영 정밀평가 심사: 1,650,000원 * 1회</t>
    <phoneticPr fontId="4" type="noConversion"/>
  </si>
  <si>
    <t xml:space="preserve"> ○ 소비자중심경영 품질관리</t>
    <phoneticPr fontId="4" type="noConversion"/>
  </si>
  <si>
    <t xml:space="preserve">  - 고객 서비스 품질관리 (고객만족도조사) 위탁 수수료:  10,800,000원 * 1회</t>
    <phoneticPr fontId="4" type="noConversion"/>
  </si>
  <si>
    <t xml:space="preserve">  - 소비자중심경영(CCM) 재인증 심사비: 4,000,000원 * 1회</t>
    <phoneticPr fontId="4" type="noConversion"/>
  </si>
  <si>
    <t>○ 부패방지 및 준법경영시스템(ISO37001, ISO37301) 사후심사비: 4,950,000원 * 1회</t>
    <phoneticPr fontId="4" type="noConversion"/>
  </si>
  <si>
    <r>
      <t xml:space="preserve">○ </t>
    </r>
    <r>
      <rPr>
        <sz val="10"/>
        <color rgb="FFFF0000"/>
        <rFont val="굴림"/>
        <family val="3"/>
        <charset val="129"/>
      </rPr>
      <t xml:space="preserve">(법정) </t>
    </r>
    <r>
      <rPr>
        <sz val="10"/>
        <color theme="1"/>
        <rFont val="굴림"/>
        <family val="3"/>
        <charset val="129"/>
      </rPr>
      <t>복합가스농도 측정기 점검</t>
    </r>
    <phoneticPr fontId="4" type="noConversion"/>
  </si>
  <si>
    <t xml:space="preserve">  - 검교정: 200,000원 * 1회</t>
    <phoneticPr fontId="4" type="noConversion"/>
  </si>
  <si>
    <t xml:space="preserve">  - 센서교체: 440,000원 * 1회</t>
    <phoneticPr fontId="4" type="noConversion"/>
  </si>
  <si>
    <t>[연구용역비]</t>
    <phoneticPr fontId="4" type="noConversion"/>
  </si>
  <si>
    <r>
      <t>○</t>
    </r>
    <r>
      <rPr>
        <sz val="10"/>
        <color rgb="FFFF0000"/>
        <rFont val="굴림"/>
        <family val="3"/>
        <charset val="129"/>
      </rPr>
      <t xml:space="preserve"> </t>
    </r>
    <r>
      <rPr>
        <sz val="10"/>
        <rFont val="굴림"/>
        <family val="3"/>
        <charset val="129"/>
      </rPr>
      <t>개인정보보호 컨설팅 및 전문가 자문: 16,500,000원 * 1회</t>
    </r>
    <phoneticPr fontId="4" type="noConversion"/>
  </si>
  <si>
    <t>[전산개발비]</t>
  </si>
  <si>
    <t>○ 더존 그룹웨어 사용 유저 추가: 1,700,000원 * 1회</t>
    <phoneticPr fontId="4" type="noConversion"/>
  </si>
  <si>
    <r>
      <t>○</t>
    </r>
    <r>
      <rPr>
        <sz val="10"/>
        <color rgb="FFFF0000"/>
        <rFont val="굴림"/>
        <family val="3"/>
        <charset val="129"/>
      </rPr>
      <t xml:space="preserve"> </t>
    </r>
    <r>
      <rPr>
        <sz val="10"/>
        <rFont val="굴림"/>
        <family val="3"/>
        <charset val="129"/>
      </rPr>
      <t>개인정보보호수준 진단 대응 조치: 11,000,000원 * 1회</t>
    </r>
    <phoneticPr fontId="4" type="noConversion"/>
  </si>
  <si>
    <r>
      <t>○</t>
    </r>
    <r>
      <rPr>
        <sz val="10"/>
        <color rgb="FFFF0000"/>
        <rFont val="굴림"/>
        <family val="3"/>
        <charset val="129"/>
      </rPr>
      <t xml:space="preserve"> (신규) </t>
    </r>
    <r>
      <rPr>
        <sz val="10"/>
        <rFont val="굴림"/>
        <family val="3"/>
        <charset val="129"/>
      </rPr>
      <t>웹사이트 취약점 진단: 12,500,000원 * 1회</t>
    </r>
    <phoneticPr fontId="4" type="noConversion"/>
  </si>
  <si>
    <r>
      <t>○</t>
    </r>
    <r>
      <rPr>
        <sz val="10"/>
        <color rgb="FFFF0000"/>
        <rFont val="굴림"/>
        <family val="3"/>
        <charset val="129"/>
      </rPr>
      <t xml:space="preserve"> (신규)</t>
    </r>
    <r>
      <rPr>
        <sz val="10"/>
        <rFont val="굴림"/>
        <family val="3"/>
        <charset val="129"/>
      </rPr>
      <t xml:space="preserve"> 차세대 전자결재 도입: 54,450,000원 * 1회</t>
    </r>
    <phoneticPr fontId="4" type="noConversion"/>
  </si>
  <si>
    <t>[행사실비지원금]</t>
    <phoneticPr fontId="4" type="noConversion"/>
  </si>
  <si>
    <r>
      <t>○</t>
    </r>
    <r>
      <rPr>
        <sz val="10"/>
        <color theme="1"/>
        <rFont val="Calibri"/>
        <family val="2"/>
      </rPr>
      <t xml:space="preserve">  </t>
    </r>
    <r>
      <rPr>
        <sz val="10"/>
        <color theme="1"/>
        <rFont val="굴림"/>
        <family val="3"/>
        <charset val="129"/>
      </rPr>
      <t>고객모니터링단 활동비: 10,000원 * 12명 * 12월</t>
    </r>
    <phoneticPr fontId="4" type="noConversion"/>
  </si>
  <si>
    <r>
      <t xml:space="preserve">○ </t>
    </r>
    <r>
      <rPr>
        <sz val="10"/>
        <color rgb="FFFF0000"/>
        <rFont val="굴림"/>
        <family val="3"/>
        <charset val="129"/>
      </rPr>
      <t xml:space="preserve"> </t>
    </r>
    <r>
      <rPr>
        <sz val="10"/>
        <color theme="1"/>
        <rFont val="굴림"/>
        <family val="3"/>
        <charset val="129"/>
      </rPr>
      <t>산업시찰, 견학, 참여를 위한 실비: 400,000원 * 2회</t>
    </r>
    <phoneticPr fontId="4" type="noConversion"/>
  </si>
  <si>
    <t>[기타보상금]</t>
    <phoneticPr fontId="4" type="noConversion"/>
  </si>
  <si>
    <t>○ 소비자중심경영 소통 확대 관리</t>
  </si>
  <si>
    <t xml:space="preserve"> - 시민기자단 운영에 따른 원고료: 50,000원 * 2명 * 3월 * 2회</t>
    <phoneticPr fontId="4" type="noConversion"/>
  </si>
  <si>
    <t xml:space="preserve"> - 시민기자단 우수활동자 포상: 50,000원 * 1명 * 2회</t>
    <phoneticPr fontId="4" type="noConversion"/>
  </si>
  <si>
    <t xml:space="preserve"> - 시민 제안 공모전 운영에 따른 민간인 포상금: 1,000,000원 * 1회</t>
    <phoneticPr fontId="4" type="noConversion"/>
  </si>
  <si>
    <t xml:space="preserve"> - 고객모니터링단 활동 우수자 포상금: 100,000원 * 3명 * 1회</t>
    <phoneticPr fontId="3" type="noConversion"/>
  </si>
  <si>
    <t>[포상금]</t>
    <phoneticPr fontId="4" type="noConversion"/>
  </si>
  <si>
    <t>○ 우수 청년인턴 포상금: 100,000원 * 2회</t>
    <phoneticPr fontId="4" type="noConversion"/>
  </si>
  <si>
    <t>○ ESG경영마일리지 우수직원 포상금: 500,000원 * 1회</t>
    <phoneticPr fontId="4" type="noConversion"/>
  </si>
  <si>
    <t>○ 혁신 공모전 우수부서: 700,000원 * 1회</t>
    <phoneticPr fontId="4" type="noConversion"/>
  </si>
  <si>
    <t>○ 부서평가 포상금 지급: 900,000원 * 1회</t>
    <phoneticPr fontId="4" type="noConversion"/>
  </si>
  <si>
    <t>○ ESG, 혁신 아이디어 공모전: 400,000원 * 1회</t>
    <phoneticPr fontId="4" type="noConversion"/>
  </si>
  <si>
    <t>○ 주니어보드 활동 우수자: 300,000원 * 1회</t>
    <phoneticPr fontId="4" type="noConversion"/>
  </si>
  <si>
    <t>○ 안전사고 저감 우수부서 포상: 1,000,000원 * 1회</t>
    <phoneticPr fontId="4" type="noConversion"/>
  </si>
  <si>
    <t>○ 시설물 유지 개선제안 우수자 포상: 300,000원 * 1회</t>
    <phoneticPr fontId="4" type="noConversion"/>
  </si>
  <si>
    <t>○ 소비자중심경영 서비스 품질관리</t>
  </si>
  <si>
    <t xml:space="preserve">  - 전화응대 친절직원: 100,000원 * 1명 * 2회</t>
    <phoneticPr fontId="4" type="noConversion"/>
  </si>
  <si>
    <t xml:space="preserve">  - 고객서비스 우수부서 포상: 400,000원 * 1부서 * 1회</t>
    <phoneticPr fontId="4" type="noConversion"/>
  </si>
  <si>
    <t xml:space="preserve">  - 내외부 고객서비스 제안제도 운영 포상: 400,000원 * 1회</t>
    <phoneticPr fontId="4" type="noConversion"/>
  </si>
  <si>
    <t>※ 인건비 산출 방법 : 기본급(현원 평균호봉+1) + 인상분 4.40%(일반직, 기능직, 공무직)</t>
    <phoneticPr fontId="4" type="noConversion"/>
  </si>
  <si>
    <t>[ 임원 3명, 일반직 50명(부장 7, 4급 13, 5급 20, 6급 10) ]</t>
    <phoneticPr fontId="4" type="noConversion"/>
  </si>
  <si>
    <t>○ 연봉제 급여</t>
  </si>
  <si>
    <t xml:space="preserve">  - 이사장: 85,500,000원 * 1명</t>
    <phoneticPr fontId="4" type="noConversion"/>
  </si>
  <si>
    <t xml:space="preserve">  - 본부장: 6,154,150원 * 2명 * 12개월</t>
    <phoneticPr fontId="4" type="noConversion"/>
  </si>
  <si>
    <t xml:space="preserve">  - 부   장: 6,548,990원 * 7명 * 11개월</t>
    <phoneticPr fontId="4" type="noConversion"/>
  </si>
  <si>
    <t>○ 기본급</t>
  </si>
  <si>
    <t xml:space="preserve">  - 4급(15호봉): 2,356,100원 * 13명 * 11개월</t>
    <phoneticPr fontId="4" type="noConversion"/>
  </si>
  <si>
    <t xml:space="preserve">  - 5급(8호봉): 1,750,030원 * 20명 * 11개월</t>
    <phoneticPr fontId="4" type="noConversion"/>
  </si>
  <si>
    <t xml:space="preserve">  - 6급(4호봉): 1,352,780원 * 10명 * 11개월</t>
    <phoneticPr fontId="4" type="noConversion"/>
  </si>
  <si>
    <t>○ 직급보조비</t>
  </si>
  <si>
    <t xml:space="preserve">  - 4급(15호봉): 150,000원 * 13명 * 12개월</t>
    <phoneticPr fontId="4" type="noConversion"/>
  </si>
  <si>
    <t xml:space="preserve">  - 5급(8호봉): 150,000원 * 20명 * 12개월</t>
    <phoneticPr fontId="4" type="noConversion"/>
  </si>
  <si>
    <t xml:space="preserve">  - 6급(4호봉): 150,000원 * 10명 * 12개월</t>
    <phoneticPr fontId="4" type="noConversion"/>
  </si>
  <si>
    <t>○ 업무추진교통비</t>
  </si>
  <si>
    <t xml:space="preserve">  - 4급(15호봉): 130,000원 * 13명 * 12개월</t>
    <phoneticPr fontId="4" type="noConversion"/>
  </si>
  <si>
    <t xml:space="preserve">  - 5급(8호봉): 130,000원 * 20명 * 12개월</t>
    <phoneticPr fontId="4" type="noConversion"/>
  </si>
  <si>
    <t xml:space="preserve">  - 6급(4호봉): 120,000원 * 10명 * 12개월</t>
    <phoneticPr fontId="4" type="noConversion"/>
  </si>
  <si>
    <t>○ 가계안정비</t>
  </si>
  <si>
    <t xml:space="preserve">  - 4급(15호봉): 2,356,100원 * 250% * 13명</t>
    <phoneticPr fontId="4" type="noConversion"/>
  </si>
  <si>
    <t xml:space="preserve">  - 5급(8호봉): 1,750,030원 * 250% * 20명</t>
    <phoneticPr fontId="4" type="noConversion"/>
  </si>
  <si>
    <t xml:space="preserve">  - 6급(4호봉): 1,352,780원 * 250% * 10명</t>
    <phoneticPr fontId="4" type="noConversion"/>
  </si>
  <si>
    <t>○ 영업수당</t>
  </si>
  <si>
    <t xml:space="preserve">  - 4급(15호봉): 2,356,100원 * 30% * 13명 * 12개월</t>
    <phoneticPr fontId="4" type="noConversion"/>
  </si>
  <si>
    <t xml:space="preserve">  - 5급(8호봉): 1,750,030원 * 30% * 20명 * 12개월</t>
    <phoneticPr fontId="4" type="noConversion"/>
  </si>
  <si>
    <t xml:space="preserve">  - 6급(4호봉): 1,352,780원 * 30% * 10명 * 12개월</t>
    <phoneticPr fontId="4" type="noConversion"/>
  </si>
  <si>
    <t>○ 기술수당</t>
  </si>
  <si>
    <t xml:space="preserve">  - 기능장: 50,000원 * 2명 * 12개월</t>
    <phoneticPr fontId="4" type="noConversion"/>
  </si>
  <si>
    <t xml:space="preserve">  - 기사, 간호사, 기록물관리, 건강운동, 재난안전: 30,000원 * 13명 * 12개월</t>
    <phoneticPr fontId="4" type="noConversion"/>
  </si>
  <si>
    <t xml:space="preserve">  - 산업기사: 25,000원 * 1명 * 12개월</t>
    <phoneticPr fontId="4" type="noConversion"/>
  </si>
  <si>
    <t>○ 특정업무수행경비</t>
  </si>
  <si>
    <t xml:space="preserve">  - 예산·결산·계약·감사·노사·경영평가·안전·보건: 80,000원 * 12명 * 12개월</t>
    <phoneticPr fontId="4" type="noConversion"/>
  </si>
  <si>
    <t>○ 정액급식비</t>
  </si>
  <si>
    <t xml:space="preserve">  - 4급(15호봉): 140,000원 * 13명 * 12개월</t>
    <phoneticPr fontId="4" type="noConversion"/>
  </si>
  <si>
    <t xml:space="preserve">  - 5급(8호봉): 140,000원 * 20명 * 12개월</t>
    <phoneticPr fontId="4" type="noConversion"/>
  </si>
  <si>
    <t xml:space="preserve">  - 6급(4호봉): 140,000원 * 10명 * 12개월</t>
    <phoneticPr fontId="4" type="noConversion"/>
  </si>
  <si>
    <t>○ 가족수당</t>
  </si>
  <si>
    <t xml:space="preserve">  - 배우자: 40,000원 * 26명 * 12개월</t>
    <phoneticPr fontId="4" type="noConversion"/>
  </si>
  <si>
    <t xml:space="preserve">  - 직계존비속: 20,000원 * 15명 * 12개월</t>
    <phoneticPr fontId="4" type="noConversion"/>
  </si>
  <si>
    <t xml:space="preserve">  - 첫째자녀: 50,000원 * 15명 * 12개월</t>
    <phoneticPr fontId="4" type="noConversion"/>
  </si>
  <si>
    <t xml:space="preserve">  - 둘째자녀: 80,000원 * 11명 * 12개월</t>
    <phoneticPr fontId="4" type="noConversion"/>
  </si>
  <si>
    <t xml:space="preserve">  - 셋째자녀: 120,000원 * 0명 * 12개월</t>
    <phoneticPr fontId="4" type="noConversion"/>
  </si>
  <si>
    <t>○ 장기근속수당</t>
  </si>
  <si>
    <t xml:space="preserve">  - 5년 미만: 30,000원 * 10명 * 12개월</t>
    <phoneticPr fontId="4" type="noConversion"/>
  </si>
  <si>
    <t xml:space="preserve">  - 5년 이상 ~ 10년 미만: 50,000원 * 14명 * 12개월</t>
    <phoneticPr fontId="4" type="noConversion"/>
  </si>
  <si>
    <t xml:space="preserve">  - 10년 이상 ~ 15년 미만: 60,000원 * 8명 * 12개월</t>
    <phoneticPr fontId="4" type="noConversion"/>
  </si>
  <si>
    <t xml:space="preserve">  - 15년 이상 ~ 20년 미만: 80,000원 * 8명 * 12개월</t>
    <phoneticPr fontId="4" type="noConversion"/>
  </si>
  <si>
    <t xml:space="preserve">  - 20년 이상 ~ 25년 미만: 110,000원 * 5명 * 12개월</t>
    <phoneticPr fontId="4" type="noConversion"/>
  </si>
  <si>
    <t xml:space="preserve">  - 25년 이상: 130,000원 * 2명 * 12개월</t>
    <phoneticPr fontId="4" type="noConversion"/>
  </si>
  <si>
    <t>○ 명절휴가비</t>
  </si>
  <si>
    <t xml:space="preserve">  - 4급(15호봉): 2,356,100원 * 150% * 13명</t>
    <phoneticPr fontId="4" type="noConversion"/>
  </si>
  <si>
    <t xml:space="preserve">  - 5급(8호봉): 1,750,030원 * 150% * 20명</t>
    <phoneticPr fontId="4" type="noConversion"/>
  </si>
  <si>
    <t xml:space="preserve">  - 6급(4호봉): 1,352,780원 * 150% * 10명</t>
    <phoneticPr fontId="4" type="noConversion"/>
  </si>
  <si>
    <t>○ 장려수당</t>
    <phoneticPr fontId="4" type="noConversion"/>
  </si>
  <si>
    <t xml:space="preserve">  - 환경자원사업소 근무 일반직: 150,000원 * 8명 * 12개월</t>
    <phoneticPr fontId="4" type="noConversion"/>
  </si>
  <si>
    <t>○ 위험근무수당</t>
    <phoneticPr fontId="4" type="noConversion"/>
  </si>
  <si>
    <t xml:space="preserve">  - 기술파트: 30,000원 * 3명 * 12개월</t>
    <phoneticPr fontId="4" type="noConversion"/>
  </si>
  <si>
    <t xml:space="preserve">  - 운전파트: 30,000원 * 2명* 12개월</t>
    <phoneticPr fontId="4" type="noConversion"/>
  </si>
  <si>
    <t>○ 선임수당</t>
  </si>
  <si>
    <t xml:space="preserve">  - 전기안전관리담당: 30,000원 * 3명 * 12개월</t>
    <phoneticPr fontId="4" type="noConversion"/>
  </si>
  <si>
    <t xml:space="preserve">  - 기타선임수당(소방, 보일러): 10,000원 * 16명 * 12개월</t>
    <phoneticPr fontId="4" type="noConversion"/>
  </si>
  <si>
    <r>
      <t xml:space="preserve">○ </t>
    </r>
    <r>
      <rPr>
        <b/>
        <sz val="10"/>
        <color rgb="FFFF0000"/>
        <rFont val="굴림"/>
        <family val="3"/>
        <charset val="129"/>
      </rPr>
      <t>(신규)</t>
    </r>
    <r>
      <rPr>
        <b/>
        <sz val="10"/>
        <color theme="1"/>
        <rFont val="굴림"/>
        <family val="3"/>
        <charset val="129"/>
      </rPr>
      <t xml:space="preserve"> 업무대행수당</t>
    </r>
    <phoneticPr fontId="4" type="noConversion"/>
  </si>
  <si>
    <t xml:space="preserve">  - 출산휴가, 30일 이상의 병가 등에 해당하는 직원의 업무를 대행하는 직원: 200,000원 * 77명 * 1개월</t>
    <phoneticPr fontId="4" type="noConversion"/>
  </si>
  <si>
    <t>○ 파견수당</t>
  </si>
  <si>
    <t xml:space="preserve">  - 파견직원(6급): 600,000원 * 1명 * 12개월</t>
    <phoneticPr fontId="4" type="noConversion"/>
  </si>
  <si>
    <t>○ 연차휴가수당</t>
  </si>
  <si>
    <t xml:space="preserve">  - 2급(본부장): 6,154,150원 / 209 * 8시간 * 2명 * 10일</t>
    <phoneticPr fontId="4" type="noConversion"/>
  </si>
  <si>
    <t xml:space="preserve">  - 3급(부장): 6,548,990원 / 209 * 8시간 * 7명 * 10일</t>
    <phoneticPr fontId="4" type="noConversion"/>
  </si>
  <si>
    <t xml:space="preserve">  - 4급(15호봉): 4,328,297원 / 209 * 8시간 * 13명 * 10일</t>
    <phoneticPr fontId="4" type="noConversion"/>
  </si>
  <si>
    <t xml:space="preserve">  - 5급(8호봉): 3,328,383원 / 209 * 8시간 * 20명 * 10일</t>
    <phoneticPr fontId="4" type="noConversion"/>
  </si>
  <si>
    <t xml:space="preserve">  - 6급(4호봉): 2,649,541원 / 209 * 8시간 * 10명 * 10일</t>
    <phoneticPr fontId="4" type="noConversion"/>
  </si>
  <si>
    <t>○ 초과수당(시간외, 휴일, 야간)</t>
  </si>
  <si>
    <t xml:space="preserve">  - 4급(15호봉): 4,328,297원 / 209 *1.5 * 30시간 * 13명 * 12개월</t>
    <phoneticPr fontId="4" type="noConversion"/>
  </si>
  <si>
    <t xml:space="preserve">  - 5급(8호봉): 3,328,383원 / 209 *1.5 * 30시간 * 20명 * 12개월</t>
    <phoneticPr fontId="4" type="noConversion"/>
  </si>
  <si>
    <t xml:space="preserve">  - 6급(4호봉): 2,649,541원 / 209 *1.5 * 30시간 * 10명 * 12개월</t>
    <phoneticPr fontId="4" type="noConversion"/>
  </si>
  <si>
    <t>[ 기능직 30명(6등급 4, 7등급 11, 8등급 12, 9등급 3) ]</t>
    <phoneticPr fontId="4" type="noConversion"/>
  </si>
  <si>
    <t xml:space="preserve">  - 6등급(17호봉): 2,348,600원 * 4명 * 11개월</t>
    <phoneticPr fontId="4" type="noConversion"/>
  </si>
  <si>
    <t xml:space="preserve">  - 7등급(18호봉): 2,150,290원 * 11명 * 11개월</t>
    <phoneticPr fontId="4" type="noConversion"/>
  </si>
  <si>
    <t xml:space="preserve">  - 8등급(16호봉): 1,816,030원 * 12명 * 11개월</t>
    <phoneticPr fontId="4" type="noConversion"/>
  </si>
  <si>
    <t xml:space="preserve">  - 9등급(6호봉): 1,189,120원 * 3명 * 11개월</t>
    <phoneticPr fontId="4" type="noConversion"/>
  </si>
  <si>
    <t xml:space="preserve">  - 6등급(17호봉): 150,000원 * 4명 * 12개월</t>
    <phoneticPr fontId="4" type="noConversion"/>
  </si>
  <si>
    <t xml:space="preserve">  - 7등급(18호봉): 150,000원 * 11명 * 12개월</t>
    <phoneticPr fontId="4" type="noConversion"/>
  </si>
  <si>
    <t xml:space="preserve">  - 8등급(16호봉): 150,000원 * 12명 * 12개월</t>
    <phoneticPr fontId="4" type="noConversion"/>
  </si>
  <si>
    <t xml:space="preserve">  - 9등급(6호봉) : 150,000원 * 3명 * 12개월</t>
    <phoneticPr fontId="4" type="noConversion"/>
  </si>
  <si>
    <t xml:space="preserve">  - 6등급(17호봉): 130,000원 * 4명 * 12개월</t>
    <phoneticPr fontId="4" type="noConversion"/>
  </si>
  <si>
    <t xml:space="preserve">  - 7등급(18호봉): 120,000원 * 11명 * 12개월</t>
    <phoneticPr fontId="4" type="noConversion"/>
  </si>
  <si>
    <t xml:space="preserve">  - 8등급(16호봉): 120,000원 * 12명 * 12개월</t>
    <phoneticPr fontId="4" type="noConversion"/>
  </si>
  <si>
    <t xml:space="preserve">  - 9등급(6호봉): 120,000원 * 3명 * 12개월</t>
    <phoneticPr fontId="4" type="noConversion"/>
  </si>
  <si>
    <t xml:space="preserve">  - 6등급(17호봉): 2,348,600원 * 250% * 4명</t>
    <phoneticPr fontId="4" type="noConversion"/>
  </si>
  <si>
    <t xml:space="preserve">  - 7등급(18호봉): 2,150,290원 * 250% * 11명</t>
    <phoneticPr fontId="4" type="noConversion"/>
  </si>
  <si>
    <t xml:space="preserve">  - 8등급(16호봉): 1,816,030원 * 250% * 12명</t>
    <phoneticPr fontId="4" type="noConversion"/>
  </si>
  <si>
    <t xml:space="preserve">  - 9등급(6호봉): 1,189,120원 * 250% * 3명</t>
    <phoneticPr fontId="4" type="noConversion"/>
  </si>
  <si>
    <t xml:space="preserve">  - 6등급(17호봉): 2,348,600원 * 30% * 4명 * 12개월</t>
    <phoneticPr fontId="4" type="noConversion"/>
  </si>
  <si>
    <t xml:space="preserve">  - 7등급(18호봉): 2,150,290원 * 30% * 11명 * 12개월</t>
    <phoneticPr fontId="4" type="noConversion"/>
  </si>
  <si>
    <t xml:space="preserve">  - 8등급(16호봉): 1,816,030원 * 30% * 12명 * 12개월</t>
    <phoneticPr fontId="4" type="noConversion"/>
  </si>
  <si>
    <t xml:space="preserve">  - 9등급(6호봉): 1,189,120원 * 30% * 4명 * 12개월</t>
    <phoneticPr fontId="4" type="noConversion"/>
  </si>
  <si>
    <t xml:space="preserve">  - 기사 1급: 30,000원 * 5명 * 12개월</t>
    <phoneticPr fontId="4" type="noConversion"/>
  </si>
  <si>
    <t xml:space="preserve">  - 기사 2급: 25,000원 * 3명 * 12개월</t>
    <phoneticPr fontId="4" type="noConversion"/>
  </si>
  <si>
    <t xml:space="preserve">  - 6등급(17호봉): 140,000원 * 4명 * 12개월</t>
    <phoneticPr fontId="4" type="noConversion"/>
  </si>
  <si>
    <t xml:space="preserve">  - 7등급(18호봉): 140,000원 * 11명 * 12개월</t>
    <phoneticPr fontId="4" type="noConversion"/>
  </si>
  <si>
    <t xml:space="preserve">  - 8등급(16호봉): 140,000원 * 12명 * 12개월</t>
    <phoneticPr fontId="4" type="noConversion"/>
  </si>
  <si>
    <t xml:space="preserve">  - 9등급(6호봉): 140,000원 * 3명 * 12개월</t>
    <phoneticPr fontId="4" type="noConversion"/>
  </si>
  <si>
    <t xml:space="preserve">  - 배우자: 40,000원 * 19명 * 12개월</t>
    <phoneticPr fontId="4" type="noConversion"/>
  </si>
  <si>
    <t xml:space="preserve">  - 직계존비속: 20,000원 * 7명 * 12개월</t>
    <phoneticPr fontId="4" type="noConversion"/>
  </si>
  <si>
    <t xml:space="preserve">  - 첫째자녀: 50,000원 * 17명 * 12개월</t>
    <phoneticPr fontId="4" type="noConversion"/>
  </si>
  <si>
    <t xml:space="preserve">  - 둘째자녀: 80,000원 * 14명 * 12개월</t>
    <phoneticPr fontId="4" type="noConversion"/>
  </si>
  <si>
    <t xml:space="preserve">  - 셋째자녀: 120,000원 * 2명 * 12개월</t>
    <phoneticPr fontId="4" type="noConversion"/>
  </si>
  <si>
    <t xml:space="preserve">  - 5년 미만: 30,000원 *1명 * 12개월</t>
    <phoneticPr fontId="4" type="noConversion"/>
  </si>
  <si>
    <t xml:space="preserve">  - 5년 이상 ~ 10년 미만: 50,000원 * 2명 * 12개월</t>
    <phoneticPr fontId="4" type="noConversion"/>
  </si>
  <si>
    <t xml:space="preserve">  - 10년 이상 ~ 15년 미만: 60,000원 * 5명 * 12개월</t>
    <phoneticPr fontId="4" type="noConversion"/>
  </si>
  <si>
    <t xml:space="preserve">  - 15년 이상 ~ 20년 미만: 80,000원 * 19명 * 12개월</t>
    <phoneticPr fontId="4" type="noConversion"/>
  </si>
  <si>
    <t xml:space="preserve">  - 20년 이상 ~ 25년 미만: 110,000원 * 3명 * 12개월</t>
    <phoneticPr fontId="4" type="noConversion"/>
  </si>
  <si>
    <t xml:space="preserve">  - 25년 이상: 130,000원 * 0명 * 12개월</t>
    <phoneticPr fontId="4" type="noConversion"/>
  </si>
  <si>
    <t xml:space="preserve">  - 6등급(17호봉): 2,348,600원 * 150% * 4명</t>
    <phoneticPr fontId="4" type="noConversion"/>
  </si>
  <si>
    <t xml:space="preserve">  - 7등급(18호봉): 2,150,290원 * 150% * 11명</t>
    <phoneticPr fontId="4" type="noConversion"/>
  </si>
  <si>
    <t xml:space="preserve">  - 8등급(16호봉): 1,816,030원 * 150% * 12명</t>
    <phoneticPr fontId="4" type="noConversion"/>
  </si>
  <si>
    <t xml:space="preserve">  - 9등급(6호봉): 1,189,120원 * 150% * 3명</t>
    <phoneticPr fontId="4" type="noConversion"/>
  </si>
  <si>
    <t>○ 장려수당</t>
  </si>
  <si>
    <t xml:space="preserve">  - 환경자원사업소 근무 기능직: 150,000원 * 30명 * 12개월</t>
    <phoneticPr fontId="4" type="noConversion"/>
  </si>
  <si>
    <t>○ 위험근무수당</t>
  </si>
  <si>
    <t xml:space="preserve">  - 운전파트: 30,000원 * 30명 * 12개월</t>
    <phoneticPr fontId="4" type="noConversion"/>
  </si>
  <si>
    <t>○ 조장수당</t>
  </si>
  <si>
    <t xml:space="preserve">  - 조장: 50,000원 * 4명 * 12개월</t>
    <phoneticPr fontId="4" type="noConversion"/>
  </si>
  <si>
    <t xml:space="preserve">  - 위험물안전관리담당: 10,000원 * 1명 * 12개월</t>
    <phoneticPr fontId="4" type="noConversion"/>
  </si>
  <si>
    <t xml:space="preserve">  - 검사대상기기조정자: 10,000원 * 3명 * 12개월</t>
    <phoneticPr fontId="4" type="noConversion"/>
  </si>
  <si>
    <t xml:space="preserve">  - 승강기안전관리자: 10,000원 * 1명 * 12개월</t>
    <phoneticPr fontId="4" type="noConversion"/>
  </si>
  <si>
    <t xml:space="preserve">  - 6등급(17호봉): 4,516,047원 / 209 * 8시간 * 10일 * 4명</t>
    <phoneticPr fontId="4" type="noConversion"/>
  </si>
  <si>
    <t xml:space="preserve">  - 7등급(18호봉): 4,162,141원 / 209 * 8시간 * 10일 * 11명</t>
    <phoneticPr fontId="4" type="noConversion"/>
  </si>
  <si>
    <t xml:space="preserve">  - 8등급(16호봉): 3,606,183원 / 209 * 8시간 * 10일 * 12명</t>
    <phoneticPr fontId="4" type="noConversion"/>
  </si>
  <si>
    <t xml:space="preserve">  - 9등급(6호봉): 2,532,230원 / 209 * 8시간 * 10일 * 3명</t>
    <phoneticPr fontId="4" type="noConversion"/>
  </si>
  <si>
    <t>○ 시간외근무수당</t>
  </si>
  <si>
    <t xml:space="preserve">  - 6등급(17호봉): 4,516,047원 / 209 * 1.5 * 9시간 * 4명 * 12개월</t>
    <phoneticPr fontId="4" type="noConversion"/>
  </si>
  <si>
    <t xml:space="preserve">  - 7등급(18호봉): 4,162,141원 / 209 * 1.5 * 9시간 * 11명 * 12개월</t>
    <phoneticPr fontId="4" type="noConversion"/>
  </si>
  <si>
    <t xml:space="preserve">  - 8등급(16호봉): 3,606,183원 / 209 * 1.5 * 9시간 * 12명 * 12개월</t>
    <phoneticPr fontId="4" type="noConversion"/>
  </si>
  <si>
    <t xml:space="preserve">  - 9등급(6호봉): 2,532,230원 / 209 * 1.5 * 9시간 * 3명 * 12개월</t>
    <phoneticPr fontId="4" type="noConversion"/>
  </si>
  <si>
    <t>○ 휴일근무수당</t>
  </si>
  <si>
    <t xml:space="preserve">  - 6등급(17호봉): 4,516,047원 / 209 * 1.5 * 12시간 * 4명 * 12개월</t>
    <phoneticPr fontId="4" type="noConversion"/>
  </si>
  <si>
    <t xml:space="preserve">  - 7등급(18호봉): 4,162,141원 / 209 * 1.5 * 12시간 * 11명 * 12개월</t>
    <phoneticPr fontId="4" type="noConversion"/>
  </si>
  <si>
    <t xml:space="preserve">  - 8등급(16호봉): 3,606,183원 / 209 * 1.5 * 12시간 * 12명 * 12개월</t>
    <phoneticPr fontId="4" type="noConversion"/>
  </si>
  <si>
    <t xml:space="preserve">  - 9등급(6호봉): 2,532,230원 / 209 * 1.5 * 12시간 * 3명 * 12개월</t>
    <phoneticPr fontId="4" type="noConversion"/>
  </si>
  <si>
    <t>○ 야간근무수당</t>
  </si>
  <si>
    <t xml:space="preserve">  - 6등급(17호봉): 4,516,047원 / 209 * 0.5 * 61시간 * 4명 * 12개월</t>
    <phoneticPr fontId="4" type="noConversion"/>
  </si>
  <si>
    <t xml:space="preserve">  - 7등급(18호봉): 4,162,141원 / 209 * 0.5 * 61시간 * 11명 * 12개월</t>
    <phoneticPr fontId="4" type="noConversion"/>
  </si>
  <si>
    <t xml:space="preserve">  - 8등급(16호봉): 3,606,183원 / 209 * 0.5 * 61시간 * 12명 * 12개월</t>
    <phoneticPr fontId="4" type="noConversion"/>
  </si>
  <si>
    <t xml:space="preserve">  - 9등급(6호봉): 2,532,230원 / 209 * 0.5 * 61시간 * 3명 * 12개월</t>
    <phoneticPr fontId="4" type="noConversion"/>
  </si>
  <si>
    <t>[ 공무직 108명(통합직군) ]</t>
    <phoneticPr fontId="4" type="noConversion"/>
  </si>
  <si>
    <t xml:space="preserve">  - 통합직군(10호봉): 2,346,770원 * 108명 * 11개월</t>
    <phoneticPr fontId="4" type="noConversion"/>
  </si>
  <si>
    <t>○ 정근수당</t>
  </si>
  <si>
    <t xml:space="preserve">  - 통합직군(10호봉): 2,346,770원 * 45% * 108명 * 2회</t>
    <phoneticPr fontId="4" type="noConversion"/>
  </si>
  <si>
    <t xml:space="preserve">  - 통합직군(10호봉): 140,000원 * 108명 * 12개월</t>
    <phoneticPr fontId="4" type="noConversion"/>
  </si>
  <si>
    <t>○ 직급수당</t>
  </si>
  <si>
    <t xml:space="preserve">  - 통합직군(10호봉): 200,000원 * 108명 * 12개월</t>
    <phoneticPr fontId="4" type="noConversion"/>
  </si>
  <si>
    <t>○ 직무수당</t>
  </si>
  <si>
    <t xml:space="preserve">  - 통합직군(10호봉): 90,000원 * 108명 * 12개월</t>
    <phoneticPr fontId="4" type="noConversion"/>
  </si>
  <si>
    <t>○ 정근수당가산금</t>
  </si>
  <si>
    <t xml:space="preserve">  - 5년 미만: 30,000원 * 22명 * 12개월</t>
    <phoneticPr fontId="4" type="noConversion"/>
  </si>
  <si>
    <t xml:space="preserve">  - 5년 이상 ~ 10년 미만: 50,000원 * 46명 * 12개월</t>
    <phoneticPr fontId="4" type="noConversion"/>
  </si>
  <si>
    <t xml:space="preserve">  - 10년 이상 ~ 15년 미만: 60,000원 * 24명 * 12개월</t>
    <phoneticPr fontId="4" type="noConversion"/>
  </si>
  <si>
    <t xml:space="preserve">  - 15년 이상 ~ 20년 미만: 80,000원 * 0명 * 12개월</t>
    <phoneticPr fontId="4" type="noConversion"/>
  </si>
  <si>
    <t xml:space="preserve">  - 20년 이상 ~ 25년 미만: 110,000원 * 0원 * 12개월</t>
    <phoneticPr fontId="4" type="noConversion"/>
  </si>
  <si>
    <t xml:space="preserve">  - 배우자: 40,000원 * 42명 * 12개월</t>
    <phoneticPr fontId="4" type="noConversion"/>
  </si>
  <si>
    <t xml:space="preserve">  - 직계존비속: 20,000원 * 23명 * 12개월</t>
    <phoneticPr fontId="4" type="noConversion"/>
  </si>
  <si>
    <t xml:space="preserve">  - 첫째자녀: 50,000원 * 16명 * 12개월</t>
    <phoneticPr fontId="4" type="noConversion"/>
  </si>
  <si>
    <t xml:space="preserve">  - 둘째자녀: 80,000원 * 13명 * 12개월</t>
    <phoneticPr fontId="4" type="noConversion"/>
  </si>
  <si>
    <t xml:space="preserve">  - 셋째자녀: 120,000원 * 6명 * 12개월</t>
    <phoneticPr fontId="4" type="noConversion"/>
  </si>
  <si>
    <t xml:space="preserve">  - 자격수당(생활체육지도사): 50,000원 * 11명 * 12개월</t>
    <phoneticPr fontId="4" type="noConversion"/>
  </si>
  <si>
    <t xml:space="preserve">  - 강사수당(수영강사): 50,000원 * 11명 * 12개월</t>
    <phoneticPr fontId="4" type="noConversion"/>
  </si>
  <si>
    <t xml:space="preserve">  - 생활스포츠지도사(보디빌딩): 30,000원 * 1명 * 12개월</t>
    <phoneticPr fontId="4" type="noConversion"/>
  </si>
  <si>
    <t xml:space="preserve">  - 소방, 승강기, 보일러 등 선임: 10,000원 * 10명 * 12개월</t>
    <phoneticPr fontId="4" type="noConversion"/>
  </si>
  <si>
    <t xml:space="preserve">  - 통합직군(10호봉): 2,346,770원 * 120% * 108명</t>
    <phoneticPr fontId="4" type="noConversion"/>
  </si>
  <si>
    <t xml:space="preserve">  - 통합직군(10호봉): 123,921원 * 10일 * 108명</t>
    <phoneticPr fontId="4" type="noConversion"/>
  </si>
  <si>
    <t xml:space="preserve">  - 통합직군(10호봉): 23,235원 * 12시간 * 108명 * 12개월</t>
    <phoneticPr fontId="4" type="noConversion"/>
  </si>
  <si>
    <t xml:space="preserve">  - 통합직군(10호봉): 23,235원 * 8시간 * 108명 * 25일</t>
    <phoneticPr fontId="4" type="noConversion"/>
  </si>
  <si>
    <t xml:space="preserve">  - 통합직군(10호봉): 7.745원 * 40시간 * 108명 * 12개월</t>
    <phoneticPr fontId="4" type="noConversion"/>
  </si>
  <si>
    <t>○ 청년인턴 급여 (8명, 1개월)</t>
    <phoneticPr fontId="4" type="noConversion"/>
  </si>
  <si>
    <t xml:space="preserve">  - 기본급: 11,340원 * 8시간 * 8명 * 5일 * 4주</t>
  </si>
  <si>
    <t xml:space="preserve">  - 주휴수당: 11,340원 * 8시간 * 8명 * 4주</t>
  </si>
  <si>
    <t xml:space="preserve">  - 연차휴가수당: 11,340원 * 8시간 * 8명 * 1일</t>
  </si>
  <si>
    <t>○ 장애인 기간제 채용 2명</t>
    <phoneticPr fontId="4" type="noConversion"/>
  </si>
  <si>
    <t xml:space="preserve">  - 기본급: 11,340원 * 4시간 * 2명 * 5일 * 52주</t>
  </si>
  <si>
    <t xml:space="preserve">  - 주휴수당: 11,340원 * 4시간 * 2명 * 52주</t>
  </si>
  <si>
    <t xml:space="preserve">  - 연차휴가수당: 11,340원 * 4시간 * 2명 * 15일</t>
  </si>
  <si>
    <r>
      <t xml:space="preserve">○ 퇴직연금(DB) 운영 사용자 부담금 및 퇴직급여충당금
  - 2025년 7월 말일 기준 적립액: 220억원 / 이후 지급 예상액: 5억원(수시 + 중간정산)
  - 2025년 말 공단 퇴직연금 적립 예상 금액: 210억원
  - 2026년 퇴직연금 예상 지출액: 35억원[15억원(정년퇴직) + 20억원(중간정산)]
  - 2026년 말 퇴직연금 적립 추계액: 215억원
</t>
    </r>
    <r>
      <rPr>
        <b/>
        <u/>
        <sz val="10"/>
        <rFont val="굴림"/>
        <family val="3"/>
        <charset val="129"/>
      </rPr>
      <t>∴ 퇴직연금 최소적립금 요구액: 40억원(210억원 - 35억원 - 215억원 = -40억원)</t>
    </r>
    <phoneticPr fontId="4" type="noConversion"/>
  </si>
  <si>
    <t>[ 2025년 경영평가 평가급(임원, 일반직, 기능직) ]</t>
    <phoneticPr fontId="4" type="noConversion"/>
  </si>
  <si>
    <t xml:space="preserve">  ○ 2026년(2025년 실적) 경영평가에 따른 평가급(2025년 다등급기준)</t>
    <phoneticPr fontId="4" type="noConversion"/>
  </si>
  <si>
    <t xml:space="preserve">     - 2025년 연봉(보수월액) * 2025년 평가급 지급률(인센티브 평가급+자체 평가급)</t>
    <phoneticPr fontId="4" type="noConversion"/>
  </si>
  <si>
    <t>[ 2025년 평가급(환경사원) ]</t>
    <phoneticPr fontId="4" type="noConversion"/>
  </si>
  <si>
    <t xml:space="preserve">  ○ 1,000,000원(임금협약) * 274명(정원)</t>
    <phoneticPr fontId="4" type="noConversion"/>
  </si>
  <si>
    <t>[수탁자산취득비]</t>
  </si>
  <si>
    <r>
      <t xml:space="preserve">○ </t>
    </r>
    <r>
      <rPr>
        <b/>
        <sz val="10"/>
        <color rgb="FFFF0000"/>
        <rFont val="굴림"/>
        <family val="3"/>
        <charset val="129"/>
      </rPr>
      <t>(신규)</t>
    </r>
    <r>
      <rPr>
        <b/>
        <sz val="10"/>
        <rFont val="굴림"/>
        <family val="3"/>
        <charset val="129"/>
      </rPr>
      <t xml:space="preserve"> 장애 복지 시설 설치</t>
    </r>
    <phoneticPr fontId="4" type="noConversion"/>
  </si>
  <si>
    <t xml:space="preserve">  - 높이조절 책상 구매: 1,352,000원 * 1대</t>
    <phoneticPr fontId="4" type="noConversion"/>
  </si>
  <si>
    <t>보수 총합</t>
    <phoneticPr fontId="4" type="noConversion"/>
  </si>
  <si>
    <t>무기계약보수 총합</t>
    <phoneticPr fontId="4" type="noConversion"/>
  </si>
  <si>
    <t>정책인상률</t>
    <phoneticPr fontId="3" type="noConversion"/>
  </si>
  <si>
    <t>호봉(자연증가분)</t>
    <phoneticPr fontId="3" type="noConversion"/>
  </si>
  <si>
    <t>총 인상률</t>
    <phoneticPr fontId="3" type="noConversion"/>
  </si>
  <si>
    <t>편성 당시 가장 높은 연봉월액 / 12 + (연봉월액 * 정책인상률)</t>
    <phoneticPr fontId="3" type="noConversion"/>
  </si>
  <si>
    <t>예산(안) 편성 당시 평균호봉 +1</t>
    <phoneticPr fontId="3" type="noConversion"/>
  </si>
  <si>
    <t>2024 기준 임금</t>
    <phoneticPr fontId="3" type="noConversion"/>
  </si>
  <si>
    <t>직급별 통상임금</t>
    <phoneticPr fontId="3" type="noConversion"/>
  </si>
  <si>
    <t>○ 소송 수행자 직원 포상금(행정, 민사소송): 500,000원 * 1식</t>
    <phoneticPr fontId="3" type="noConversion"/>
  </si>
  <si>
    <t>○ 적극행정 우수직원 선정에 따른 포상금 : 1,000,000원 * 1회</t>
    <phoneticPr fontId="4" type="noConversion"/>
  </si>
  <si>
    <t>2026 환경사원 인건비 예산(대략)</t>
    <phoneticPr fontId="3" type="noConversion"/>
  </si>
  <si>
    <t>2025 기간제 예산</t>
    <phoneticPr fontId="3" type="noConversion"/>
  </si>
  <si>
    <t>본부</t>
    <phoneticPr fontId="3" type="noConversion"/>
  </si>
  <si>
    <t>생폐</t>
    <phoneticPr fontId="3" type="noConversion"/>
  </si>
  <si>
    <t>공영</t>
    <phoneticPr fontId="3" type="noConversion"/>
  </si>
  <si>
    <t>돌산</t>
    <phoneticPr fontId="3" type="noConversion"/>
  </si>
  <si>
    <t>봉황산</t>
    <phoneticPr fontId="3" type="noConversion"/>
  </si>
  <si>
    <t>망마</t>
    <phoneticPr fontId="3" type="noConversion"/>
  </si>
  <si>
    <t>진남</t>
    <phoneticPr fontId="3" type="noConversion"/>
  </si>
  <si>
    <t>야영장</t>
    <phoneticPr fontId="3" type="noConversion"/>
  </si>
  <si>
    <t>웅천</t>
    <phoneticPr fontId="3" type="noConversion"/>
  </si>
  <si>
    <t>[국외업무여비]</t>
    <phoneticPr fontId="4" type="noConversion"/>
  </si>
  <si>
    <t>[공공운영비]</t>
    <phoneticPr fontId="4" type="noConversion"/>
  </si>
  <si>
    <t>[ 기간제근로자보수 ]</t>
    <phoneticPr fontId="4" type="noConversion"/>
  </si>
  <si>
    <t>단위: 천 원</t>
    <phoneticPr fontId="4" type="noConversion"/>
  </si>
  <si>
    <t>(단위: 천 원)</t>
    <phoneticPr fontId="4" type="noConversion"/>
  </si>
  <si>
    <t>다. 지출예산(세부사업) - 교통휴양시설부(공영주차장,돌산공원주차장,봉황산자연휴양림)</t>
    <phoneticPr fontId="4" type="noConversion"/>
  </si>
  <si>
    <t>총계(사업예산 + 자본예산)</t>
    <phoneticPr fontId="4" type="noConversion"/>
  </si>
  <si>
    <t>교통∙휴양 대행사업</t>
    <phoneticPr fontId="4" type="noConversion"/>
  </si>
  <si>
    <t>100 인건비</t>
    <phoneticPr fontId="4" type="noConversion"/>
  </si>
  <si>
    <t>101 인건비</t>
    <phoneticPr fontId="4" type="noConversion"/>
  </si>
  <si>
    <t>04 기간제근로자보수</t>
    <phoneticPr fontId="4" type="noConversion"/>
  </si>
  <si>
    <t>200 물건비</t>
    <phoneticPr fontId="4" type="noConversion"/>
  </si>
  <si>
    <t>201 일반운영비</t>
    <phoneticPr fontId="4" type="noConversion"/>
  </si>
  <si>
    <t>01 사무관리비</t>
    <phoneticPr fontId="4" type="noConversion"/>
  </si>
  <si>
    <t>11 지급수수료</t>
    <phoneticPr fontId="4" type="noConversion"/>
  </si>
  <si>
    <t>13 임차료</t>
    <phoneticPr fontId="4" type="noConversion"/>
  </si>
  <si>
    <t>15 복리후생비</t>
    <phoneticPr fontId="4" type="noConversion"/>
  </si>
  <si>
    <t>22 차량·선박비</t>
    <phoneticPr fontId="4" type="noConversion"/>
  </si>
  <si>
    <t>202 여비</t>
    <phoneticPr fontId="4" type="noConversion"/>
  </si>
  <si>
    <t>01 국내여비</t>
    <phoneticPr fontId="4" type="noConversion"/>
  </si>
  <si>
    <t>207 연구개발비</t>
    <phoneticPr fontId="4" type="noConversion"/>
  </si>
  <si>
    <t>217 관서업무비</t>
    <phoneticPr fontId="4" type="noConversion"/>
  </si>
  <si>
    <t>02 부서업무비</t>
    <phoneticPr fontId="4" type="noConversion"/>
  </si>
  <si>
    <t>300 경상이전</t>
    <phoneticPr fontId="4" type="noConversion"/>
  </si>
  <si>
    <t>305 배상금등</t>
    <phoneticPr fontId="4" type="noConversion"/>
  </si>
  <si>
    <t>01 배상금등</t>
    <phoneticPr fontId="4" type="noConversion"/>
  </si>
  <si>
    <t>214 수선유지교체비</t>
    <phoneticPr fontId="4" type="noConversion"/>
  </si>
  <si>
    <t>04 기간제근로자 보수</t>
    <phoneticPr fontId="4" type="noConversion"/>
  </si>
  <si>
    <t>02 공공운영비</t>
    <phoneticPr fontId="4" type="noConversion"/>
  </si>
  <si>
    <t>21 공공요금 및 제세</t>
    <phoneticPr fontId="4" type="noConversion"/>
  </si>
  <si>
    <t>02
전산개발비</t>
  </si>
  <si>
    <t>굴전∙금오도 야영장  시설 유지보수</t>
    <phoneticPr fontId="4" type="noConversion"/>
  </si>
  <si>
    <t>교통∙휴양 대행사업</t>
  </si>
  <si>
    <t>405 자산취득비</t>
    <phoneticPr fontId="4" type="noConversion"/>
  </si>
  <si>
    <t>412
수탁자산취득비</t>
    <phoneticPr fontId="4" type="noConversion"/>
  </si>
  <si>
    <t xml:space="preserve"> ○ 기간제근로자(8시간)</t>
    <phoneticPr fontId="4" type="noConversion"/>
  </si>
  <si>
    <t xml:space="preserve">   - 기본급: 92,160원 * 6명 * 5일 * 52주</t>
    <phoneticPr fontId="4" type="noConversion"/>
  </si>
  <si>
    <t xml:space="preserve">   - 주휴수당: 92,160원 * 6명 * 52주</t>
    <phoneticPr fontId="4" type="noConversion"/>
  </si>
  <si>
    <t xml:space="preserve">   - 휴일근무수당: 92,160원 * 6명 * 44일 * 150%</t>
    <phoneticPr fontId="4" type="noConversion"/>
  </si>
  <si>
    <t xml:space="preserve">   - 연차수당: 92,160원 * 6명 * 10일</t>
    <phoneticPr fontId="4" type="noConversion"/>
  </si>
  <si>
    <t xml:space="preserve"> ○ 단시간 기간제근로자(6시간)</t>
    <phoneticPr fontId="4" type="noConversion"/>
  </si>
  <si>
    <t xml:space="preserve">   - 기본급: 69,120원 * 3명 * 5일 * 52주</t>
    <phoneticPr fontId="4" type="noConversion"/>
  </si>
  <si>
    <t xml:space="preserve">   - 주휴수당: 69,120원 * 3명 * 52주</t>
    <phoneticPr fontId="4" type="noConversion"/>
  </si>
  <si>
    <t xml:space="preserve">   - 휴일근무수당: 92,160원 * 3명 * 44일 * 150%</t>
    <phoneticPr fontId="4" type="noConversion"/>
  </si>
  <si>
    <t xml:space="preserve">   - 연차수당: 69,120원 * 3명 * 10일</t>
    <phoneticPr fontId="4" type="noConversion"/>
  </si>
  <si>
    <t xml:space="preserve"> ○ 초단시간 기간제근로자(주말)</t>
    <phoneticPr fontId="4" type="noConversion"/>
  </si>
  <si>
    <t xml:space="preserve">   - 초단시간근로자(기본급): 10,320원 * 7시간 * 4명 * 2일 * 52주</t>
    <phoneticPr fontId="4" type="noConversion"/>
  </si>
  <si>
    <t>○ 공영주차장 홍보 현수막 제작: 66,000원 * 4회 * 36개소</t>
    <phoneticPr fontId="4" type="noConversion"/>
  </si>
  <si>
    <t>○ A4용지 구입: 30,000원 * 5박스 * 4개소 * 5회</t>
    <phoneticPr fontId="4" type="noConversion"/>
  </si>
  <si>
    <t>○ 토너 구입: 470,000원 * 3회</t>
    <phoneticPr fontId="4" type="noConversion"/>
  </si>
  <si>
    <t>○ 사무용품 구입: 300,000원 * 3개소 * 12월</t>
    <phoneticPr fontId="4" type="noConversion"/>
  </si>
  <si>
    <t>○ 영수증롤 구입: 5,000원 * 50롤 * 2회 * 36개소</t>
    <phoneticPr fontId="4" type="noConversion"/>
  </si>
  <si>
    <t>○ 화장실 위생용품 구입: 180,000원 * 12개소 * 12월</t>
    <phoneticPr fontId="4" type="noConversion"/>
  </si>
  <si>
    <t>○ 종량제봉투 구입: 1,800원 * 36개소 * 20일 * 12월</t>
    <phoneticPr fontId="4" type="noConversion"/>
  </si>
  <si>
    <t>○ 청소용품 구입: 150,000원 * 36개소 * 2회</t>
    <phoneticPr fontId="4" type="noConversion"/>
  </si>
  <si>
    <t>○ 생수 구입: 11,000원 * 5박스 * 4개소 * 12월</t>
    <phoneticPr fontId="4" type="noConversion"/>
  </si>
  <si>
    <t>○ 범용S/W 구입: 140,000원 * 8식(알약, 한글, 오피스)</t>
    <phoneticPr fontId="4" type="noConversion"/>
  </si>
  <si>
    <t>○ 소방 및 친환경용품 구입: 430,000원 * 36개소</t>
    <phoneticPr fontId="4" type="noConversion"/>
  </si>
  <si>
    <t xml:space="preserve"> ○ 소방안전관리 업무대행용역</t>
    <phoneticPr fontId="4" type="noConversion"/>
  </si>
  <si>
    <t xml:space="preserve">  - 오동도, 서교동, 학동(1,3), 여문, 여문공원, 진남상가, 향일암, 수산시장(3), 화장동 : 360,000원 * 10개소 * 12월</t>
    <phoneticPr fontId="4" type="noConversion"/>
  </si>
  <si>
    <t xml:space="preserve"> ○ 전기설비 유지관리용역 </t>
    <phoneticPr fontId="4" type="noConversion"/>
  </si>
  <si>
    <t xml:space="preserve">   -  오동도 주차타워: 520,000원 * 12월</t>
    <phoneticPr fontId="4" type="noConversion"/>
  </si>
  <si>
    <t xml:space="preserve">   -  여문공원 공영주차장: 190,000원 * 12월</t>
    <phoneticPr fontId="4" type="noConversion"/>
  </si>
  <si>
    <t xml:space="preserve">   - 학동선소상가(1) 공영주차장: 190,000원 * 12월</t>
    <phoneticPr fontId="4" type="noConversion"/>
  </si>
  <si>
    <t xml:space="preserve">   - 화장동 공영주차장: 190,000원 * 12월</t>
    <phoneticPr fontId="4" type="noConversion"/>
  </si>
  <si>
    <t xml:space="preserve">   - 학동선소상가(3) 공영주차장: 190,000원 * 12월</t>
    <phoneticPr fontId="4" type="noConversion"/>
  </si>
  <si>
    <t xml:space="preserve"> ○ 여문공원 전기차 충전소 유지관리용역: 370,000원 * 12월</t>
    <phoneticPr fontId="4" type="noConversion"/>
  </si>
  <si>
    <t xml:space="preserve"> ○ 화장동 전기차 충전소 유지관리용역: 370,000원 * 12월</t>
    <phoneticPr fontId="4" type="noConversion"/>
  </si>
  <si>
    <t xml:space="preserve"> ○ 승강기 유지관리용역</t>
    <phoneticPr fontId="4" type="noConversion"/>
  </si>
  <si>
    <t xml:space="preserve">  - 오동도 주차타워: 900,000원 * 2대 * 12월</t>
    <phoneticPr fontId="4" type="noConversion"/>
  </si>
  <si>
    <t xml:space="preserve">  - 화장동, 진남상가, 서교동, 학동선소상가(1,3), 수산시장(3): 290,000원 * 5대 * 12월</t>
    <phoneticPr fontId="4" type="noConversion"/>
  </si>
  <si>
    <t xml:space="preserve"> ○ 주차포털 로그인 본인확인 서비스 수수료: 1,000,000원 * 1식</t>
    <phoneticPr fontId="4" type="noConversion"/>
  </si>
  <si>
    <t xml:space="preserve"> ○ 신규수탁 주차장 용역 (소방,전기,승강기등)</t>
    <phoneticPr fontId="4" type="noConversion"/>
  </si>
  <si>
    <t xml:space="preserve">  - 신기동 공영주차장: 4,000,000원 * 1식</t>
    <phoneticPr fontId="4" type="noConversion"/>
  </si>
  <si>
    <t xml:space="preserve"> ○ 공영주차장 어르신 사회활동 지원사업 활동비: 90,100 *107명 * 12월</t>
    <phoneticPr fontId="4" type="noConversion"/>
  </si>
  <si>
    <t xml:space="preserve"> ○ 공영주차장 환경정비(풀베기 및 방역) 용역: 18,000,000원 * 1식</t>
    <phoneticPr fontId="4" type="noConversion"/>
  </si>
  <si>
    <t xml:space="preserve"> ○ 주차요금 결제대행 이용수수료: 4,000,000원 * 12월</t>
    <phoneticPr fontId="4" type="noConversion"/>
  </si>
  <si>
    <t xml:space="preserve"> ○ 보안프로그램 사용료: 90,000원 * 12월</t>
    <phoneticPr fontId="3" type="noConversion"/>
  </si>
  <si>
    <t xml:space="preserve"> ○ 시스템경비 사용료: 60,000원 * 4개소 * 12월</t>
    <phoneticPr fontId="3" type="noConversion"/>
  </si>
  <si>
    <t xml:space="preserve"> ○ 노외주차장 지문인식기 사용료: 25,000원 * 8개소 * 12월</t>
    <phoneticPr fontId="3" type="noConversion"/>
  </si>
  <si>
    <t xml:space="preserve"> ○ 지능형 통합 주차관리 프로그램 가상계좌 이용서비스 수수료: 50,000원 * 12월</t>
    <phoneticPr fontId="4" type="noConversion"/>
  </si>
  <si>
    <t xml:space="preserve"> ○ 노상주차장 지문인식기 사용료: 200,000원 * 4회</t>
    <phoneticPr fontId="4" type="noConversion"/>
  </si>
  <si>
    <t xml:space="preserve"> ○ 관제시스템 내부 장비 교체 및 유지관리 등(연간 단가계약): 57,000,000원 * 1식</t>
    <phoneticPr fontId="4" type="noConversion"/>
  </si>
  <si>
    <t xml:space="preserve"> ○ 주차관리업무 차량 임차료</t>
    <phoneticPr fontId="4" type="noConversion"/>
  </si>
  <si>
    <t xml:space="preserve"> - 공영주차장 사무실 차량임차(전기차): 1,000,000원 * 1대 * 12월</t>
    <phoneticPr fontId="3" type="noConversion"/>
  </si>
  <si>
    <t xml:space="preserve"> - 서교동 주차관제센터 차량임차(전기차): 1,000,000원 * 1대 * 12월</t>
    <phoneticPr fontId="3" type="noConversion"/>
  </si>
  <si>
    <t xml:space="preserve"> - 학동 주차관제센터 차량임차(전기차): 1,000,000원 * 1대 * 12월</t>
    <phoneticPr fontId="3" type="noConversion"/>
  </si>
  <si>
    <t xml:space="preserve"> ○ 복합기 및 냉난방기 임차료</t>
    <phoneticPr fontId="4" type="noConversion"/>
  </si>
  <si>
    <t xml:space="preserve"> - 공영주차장 사무실 컬러복합기: 600,000원 * 1대 * 4회</t>
    <phoneticPr fontId="3" type="noConversion"/>
  </si>
  <si>
    <t xml:space="preserve"> - 복합기(학동1, 서교동): 30,000원 * 2대 * 12월</t>
    <phoneticPr fontId="4" type="noConversion"/>
  </si>
  <si>
    <t xml:space="preserve"> - 냉난방기(학동1(2대), 학동3, 여문공원, 중앙로): 50,000원 * 5대 * 12월</t>
    <phoneticPr fontId="4" type="noConversion"/>
  </si>
  <si>
    <t xml:space="preserve"> ○ 정수기 및 비데 임차료</t>
    <phoneticPr fontId="4" type="noConversion"/>
  </si>
  <si>
    <t xml:space="preserve">  - 정수기(학동1,여문,선원동, 흥국,이순신광장,수산1,서교동,오동도, 화장동): 20,000원 * 9대 * 12월</t>
    <phoneticPr fontId="4" type="noConversion"/>
  </si>
  <si>
    <t xml:space="preserve">  - 비데(서교동): 7,000원 * 1대 * 12월</t>
    <phoneticPr fontId="4" type="noConversion"/>
  </si>
  <si>
    <t xml:space="preserve"> ○ 승강기 공기살균기 임차료: 30,000원 * 9개 * 12월</t>
    <phoneticPr fontId="4" type="noConversion"/>
  </si>
  <si>
    <t xml:space="preserve"> ○ 공기청정기 임차료: 30,000원 * 6개소 * 12월</t>
    <phoneticPr fontId="3" type="noConversion"/>
  </si>
  <si>
    <t xml:space="preserve"> ○ 신규수탁 주차장 임차료 (냉난방기,정수기,비데등): 1,500,000원 * 1식(신기동)</t>
    <phoneticPr fontId="4" type="noConversion"/>
  </si>
  <si>
    <t xml:space="preserve"> ○ 피복구입비</t>
    <phoneticPr fontId="4" type="noConversion"/>
  </si>
  <si>
    <t xml:space="preserve"> - 춘추복: 150,000원 * 55명 * 2회</t>
    <phoneticPr fontId="3" type="noConversion"/>
  </si>
  <si>
    <t xml:space="preserve"> - 동복: 300,000원 * 55명 * 1회</t>
    <phoneticPr fontId="3" type="noConversion"/>
  </si>
  <si>
    <t xml:space="preserve"> ○ 안전용품(자외선 차단용품 등) 구입비: 20,000원 * 55명</t>
    <phoneticPr fontId="3" type="noConversion"/>
  </si>
  <si>
    <t xml:space="preserve"> ○ 야간급식비: 9,000원 * 5명 * 10일 * 12월</t>
    <phoneticPr fontId="4" type="noConversion"/>
  </si>
  <si>
    <t xml:space="preserve"> ○ 전기요금(보안등 포함): 600,000원 * 36개소 * 12월</t>
    <phoneticPr fontId="4" type="noConversion"/>
  </si>
  <si>
    <t xml:space="preserve"> ○ 통신요금: 300,000원 * 21개소 * 12월</t>
    <phoneticPr fontId="4" type="noConversion"/>
  </si>
  <si>
    <t xml:space="preserve"> ○ 무전기 통신요금: 100,000원 * 12월</t>
    <phoneticPr fontId="4" type="noConversion"/>
  </si>
  <si>
    <t xml:space="preserve"> ○ 상하수도요금: 200,000원 * 15개소 * 12월</t>
    <phoneticPr fontId="4" type="noConversion"/>
  </si>
  <si>
    <t xml:space="preserve"> ○ 신규수탁 주차장 공공요금(전기, 통신, 상하수도 등): 1,000,000원 * 1식(신기동) * 12월</t>
    <phoneticPr fontId="4" type="noConversion"/>
  </si>
  <si>
    <t xml:space="preserve"> ○ 공영주차장 문자 및 알림톡 서비스 수수료: 110,000원 * 12월</t>
    <phoneticPr fontId="4" type="noConversion"/>
  </si>
  <si>
    <t xml:space="preserve"> ○ 주차관리업무 차량(전기차) 충전요금: 100,000원 * 3대 * 12월</t>
    <phoneticPr fontId="4" type="noConversion"/>
  </si>
  <si>
    <t xml:space="preserve"> ○ 관내 출장여비: 20,000원 * 5명 * 9회 * 12월</t>
    <phoneticPr fontId="4" type="noConversion"/>
  </si>
  <si>
    <t xml:space="preserve"> ○ 관외 출장여비(벤치마킹): 110,000원 * 5명 * 3일 * 2회</t>
    <phoneticPr fontId="4" type="noConversion"/>
  </si>
  <si>
    <t>02 부서업무비</t>
    <phoneticPr fontId="3" type="noConversion"/>
  </si>
  <si>
    <t>○ 부서업무비(부서운영 업무 추진을 위한 제경비, 55인 기준)</t>
  </si>
  <si>
    <t xml:space="preserve">    -  부서운영업무추진비(30인이하): 400,000원 * 12월</t>
    <phoneticPr fontId="4" type="noConversion"/>
  </si>
  <si>
    <t xml:space="preserve">    -  부서운영업무추진비(30인이상): 5,000원 * 25명 * 12월</t>
    <phoneticPr fontId="4" type="noConversion"/>
  </si>
  <si>
    <t>01 배상금등</t>
    <phoneticPr fontId="3" type="noConversion"/>
  </si>
  <si>
    <t xml:space="preserve"> ○ 공영주차장 차량사고보상: 200,000원 * 35개소 * 1건</t>
    <phoneticPr fontId="4" type="noConversion"/>
  </si>
  <si>
    <t xml:space="preserve"> ○ 소규모시설 및 주차장 관제시스템 등 유지보수비: 4,500,000원 * 36개소</t>
    <phoneticPr fontId="4" type="noConversion"/>
  </si>
  <si>
    <t xml:space="preserve"> ○ 기간제근로자(4명)</t>
    <phoneticPr fontId="4" type="noConversion"/>
  </si>
  <si>
    <t xml:space="preserve">   - 기본급: 92,160원 * 4명 * 5일 * 52주</t>
    <phoneticPr fontId="4" type="noConversion"/>
  </si>
  <si>
    <t xml:space="preserve">   - 주휴수당: 92,160원 * 4명 * 52주</t>
    <phoneticPr fontId="4" type="noConversion"/>
  </si>
  <si>
    <t xml:space="preserve">   - 휴일근무수당: 92,160원 * 4명 * 40일 * 150%</t>
    <phoneticPr fontId="4" type="noConversion"/>
  </si>
  <si>
    <t xml:space="preserve">   - 연차수당: 92,160원 * 4명 * 10일</t>
    <phoneticPr fontId="4" type="noConversion"/>
  </si>
  <si>
    <t>○ 사무용품 및 주차장 소모품 등: 180,000원 * 12월</t>
    <phoneticPr fontId="4" type="noConversion"/>
  </si>
  <si>
    <t xml:space="preserve"> ○ 지문인식기 사용료: 90,000원 * 4회</t>
    <phoneticPr fontId="3" type="noConversion"/>
  </si>
  <si>
    <t xml:space="preserve"> - 춘추복: 150,000원 * 4명 * 2회</t>
    <phoneticPr fontId="3" type="noConversion"/>
  </si>
  <si>
    <t xml:space="preserve"> - 동복: 300,000원 * 4명 * 1회</t>
    <phoneticPr fontId="3" type="noConversion"/>
  </si>
  <si>
    <t xml:space="preserve"> ○ 전기요금: 600,000원 * 12월</t>
    <phoneticPr fontId="4" type="noConversion"/>
  </si>
  <si>
    <t xml:space="preserve"> ○ 통신료: 100,000원 * 12월</t>
    <phoneticPr fontId="4" type="noConversion"/>
  </si>
  <si>
    <t xml:space="preserve"> ○ 부서업무비(부서운영 업무 추진을 위한 제경비, 4인 기준)</t>
    <phoneticPr fontId="4" type="noConversion"/>
  </si>
  <si>
    <t xml:space="preserve">    -  부서운영 업무추진비: 100,000원 * 12월</t>
    <phoneticPr fontId="4" type="noConversion"/>
  </si>
  <si>
    <t xml:space="preserve"> ○ 공영주차장 차량사고보상: 1,000,000원 * 1개소</t>
    <phoneticPr fontId="4" type="noConversion"/>
  </si>
  <si>
    <t xml:space="preserve"> ○ 소규모시설 및 주차장 관제시스템 등 유지보수비: 762,083원 * 12월</t>
    <phoneticPr fontId="4" type="noConversion"/>
  </si>
  <si>
    <t>04 기간제근로자 보수</t>
  </si>
  <si>
    <t xml:space="preserve"> ○ 청소원</t>
  </si>
  <si>
    <t xml:space="preserve">   - 인부임: 89,520원 * 2명 * 5일 * 52주</t>
    <phoneticPr fontId="4" type="noConversion"/>
  </si>
  <si>
    <t xml:space="preserve">   - 주휴수당: 89,520원 * 2명 * 52주</t>
    <phoneticPr fontId="4" type="noConversion"/>
  </si>
  <si>
    <t xml:space="preserve">   - 휴일근무수당: 89,520원 * 2명 * 22일 * 150%</t>
    <phoneticPr fontId="4" type="noConversion"/>
  </si>
  <si>
    <t xml:space="preserve">   - 연차휴가수당: 89,520원 * 2명 * 10일</t>
    <phoneticPr fontId="4" type="noConversion"/>
  </si>
  <si>
    <t xml:space="preserve"> ○ 성수기 대비 근로자 인부임</t>
  </si>
  <si>
    <t xml:space="preserve">   - 청소원 인부임: 89,520원 * 2명 * 5일 * 8주 </t>
    <phoneticPr fontId="4" type="noConversion"/>
  </si>
  <si>
    <t xml:space="preserve">   - 주휴수당: 89,520원 * 2명 * 8주</t>
    <phoneticPr fontId="4" type="noConversion"/>
  </si>
  <si>
    <t xml:space="preserve">   - 휴일근무수당: 89,520원 * 2명 * 4일 * 150%</t>
    <phoneticPr fontId="4" type="noConversion"/>
  </si>
  <si>
    <t xml:space="preserve">   - 연차휴가수당: 89,520원 * 2명 * 2일</t>
    <phoneticPr fontId="4" type="noConversion"/>
  </si>
  <si>
    <t>○ 홍보물 제작: 2,000원 * 3,000매</t>
    <phoneticPr fontId="4" type="noConversion"/>
  </si>
  <si>
    <t>○ 종량제봉투 구입: 1,800원 * 2,200매</t>
    <phoneticPr fontId="3" type="noConversion"/>
  </si>
  <si>
    <t>○ 객실 침구류 구입: 100,000원 * 1회 * 30인</t>
    <phoneticPr fontId="4" type="noConversion"/>
  </si>
  <si>
    <r>
      <t xml:space="preserve">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 xml:space="preserve"> 소규모 전자제품 구입: 775,000원 * 2회</t>
    </r>
    <phoneticPr fontId="4" type="noConversion"/>
  </si>
  <si>
    <t>○ 사무용품 구입: 200,000원 * 6개월</t>
    <phoneticPr fontId="4" type="noConversion"/>
  </si>
  <si>
    <t>○ 보안프로그램 임대(알약): 26,000원 * 2대</t>
    <phoneticPr fontId="3" type="noConversion"/>
  </si>
  <si>
    <t>○ 화재 시 대피용 구조 숨수건 구매: 50,000원(10매) * 15</t>
    <phoneticPr fontId="4" type="noConversion"/>
  </si>
  <si>
    <t>○ 시설관리용품(세탁실, 청소, 객실비품, 위생용품등) 구입: 3,000,000원 * 4회</t>
    <phoneticPr fontId="3" type="noConversion"/>
  </si>
  <si>
    <t xml:space="preserve"> ○ 구급약품 구입: 250,000원 * 2회</t>
    <phoneticPr fontId="4" type="noConversion"/>
  </si>
  <si>
    <t>○ 신용카드 결제수수료: 600,000원 * 12월</t>
    <phoneticPr fontId="4" type="noConversion"/>
  </si>
  <si>
    <t>○ 방역(방제), 물탱크 청소 용역: 450,000원 * 12월</t>
    <phoneticPr fontId="4" type="noConversion"/>
  </si>
  <si>
    <t>○ 전기설비 안전관리 대행수수료: 350,000원 * 12월</t>
    <phoneticPr fontId="4" type="noConversion"/>
  </si>
  <si>
    <t>○ 소방시설 안전관리 대행수수료: 330,000원 * 12월</t>
    <phoneticPr fontId="4" type="noConversion"/>
  </si>
  <si>
    <t>○ 오수처리시설 위탁관리 대행수수료: 650,000원 * 12월</t>
    <phoneticPr fontId="4" type="noConversion"/>
  </si>
  <si>
    <t>○ 지문인식기(근태관리) 임차료: 27,500원 * 12월</t>
    <phoneticPr fontId="4" type="noConversion"/>
  </si>
  <si>
    <t xml:space="preserve"> ○ 시설관리업무 차량 임차(전기차): 460,000원 * 12월 * 1대</t>
    <phoneticPr fontId="4" type="noConversion"/>
  </si>
  <si>
    <t xml:space="preserve"> ○ 시설관리업무 차량 임차(전기차): 470,000원 * 12월 * 1대</t>
    <phoneticPr fontId="4" type="noConversion"/>
  </si>
  <si>
    <t xml:space="preserve"> ○ 사무실 복합기 대여료: 180,000원 * 12월</t>
    <phoneticPr fontId="4" type="noConversion"/>
  </si>
  <si>
    <r>
      <t xml:space="preserve">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>정수기(휴양관) 월 임차료: 35,000원 * 12월</t>
    </r>
    <phoneticPr fontId="4" type="noConversion"/>
  </si>
  <si>
    <r>
      <t xml:space="preserve">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>정수기(세탁실) 월 임차료: 35,000원 * 12월</t>
    </r>
    <phoneticPr fontId="4" type="noConversion"/>
  </si>
  <si>
    <t xml:space="preserve"> ○ 정수기(관리사무실) 월 임차료: 35,000원 * 12월</t>
    <phoneticPr fontId="4" type="noConversion"/>
  </si>
  <si>
    <t xml:space="preserve">  ○ 급식비: 9,000원 * 10일 * 12월</t>
    <phoneticPr fontId="4" type="noConversion"/>
  </si>
  <si>
    <t xml:space="preserve">  ○ 피복구입비</t>
    <phoneticPr fontId="3" type="noConversion"/>
  </si>
  <si>
    <t xml:space="preserve">    - 춘추복: 130,000원 * 12명 * 2회</t>
    <phoneticPr fontId="3" type="noConversion"/>
  </si>
  <si>
    <t xml:space="preserve">    - 동복: 200,000원 * 12명 * 1회</t>
    <phoneticPr fontId="3" type="noConversion"/>
  </si>
  <si>
    <t xml:space="preserve">  ○ 상수도 요금: 1,100,000원 * 12월</t>
    <phoneticPr fontId="4" type="noConversion"/>
  </si>
  <si>
    <t xml:space="preserve">  ○ 전기요금: 9,000,000원 * 12월</t>
    <phoneticPr fontId="4" type="noConversion"/>
  </si>
  <si>
    <t>○ 통신요금: 700,000원 * 12월</t>
    <phoneticPr fontId="4" type="noConversion"/>
  </si>
  <si>
    <t>○ TV수신료: 75,000원(30대) * 12월</t>
    <phoneticPr fontId="3" type="noConversion"/>
  </si>
  <si>
    <t xml:space="preserve"> ○ 주차관리업무 차량(전기차) 충전요금: 140,000원(2대) * 12월</t>
    <phoneticPr fontId="3" type="noConversion"/>
  </si>
  <si>
    <t xml:space="preserve"> ○ 업무추진 관내여비: 20,000원 * 1명 * 10회 * 12월</t>
    <phoneticPr fontId="4" type="noConversion"/>
  </si>
  <si>
    <t xml:space="preserve"> ○ 국내여비(관외): 85,000원 * 2명 * 1회</t>
    <phoneticPr fontId="4" type="noConversion"/>
  </si>
  <si>
    <t xml:space="preserve"> ○ 부서운영 업무추진비: 250,000원 * 12월</t>
    <phoneticPr fontId="4" type="noConversion"/>
  </si>
  <si>
    <t xml:space="preserve"> ○ 소규모시설물 유지관리: 2,000,000원 * 12월</t>
    <phoneticPr fontId="4" type="noConversion"/>
  </si>
  <si>
    <t xml:space="preserve"> ○ 장비(예취기, 기계톱) 유류대: 1,900원 * 40리터 * 6월</t>
    <phoneticPr fontId="4" type="noConversion"/>
  </si>
  <si>
    <t xml:space="preserve"> ○ 중장기 시설물 유지관리(오수처리시설, 소방시설 등): 1,200,000원 * 2회</t>
    <phoneticPr fontId="4" type="noConversion"/>
  </si>
  <si>
    <t xml:space="preserve"> ○ 긴급 안전조치(시설물), 안전보건(중대산업재해) 비용: 1,000,000원 * 2회</t>
    <phoneticPr fontId="4" type="noConversion"/>
  </si>
  <si>
    <t xml:space="preserve"> ○ 시설관리원(굴전)</t>
    <phoneticPr fontId="77" type="noConversion"/>
  </si>
  <si>
    <t xml:space="preserve">   - 인부임: 89,520원 * 3명 * 5일 * 26주</t>
    <phoneticPr fontId="77" type="noConversion"/>
  </si>
  <si>
    <t xml:space="preserve">   - 주휴수당: 89,520원 * 3명 * 26일</t>
    <phoneticPr fontId="77" type="noConversion"/>
  </si>
  <si>
    <t xml:space="preserve">   - 휴일근무수당: 89,520원 * 3명 * 15일 * 150%</t>
    <phoneticPr fontId="77" type="noConversion"/>
  </si>
  <si>
    <t xml:space="preserve">   - 초과근무수당: 11,190원 * 150% * 4시간 * 10일 * 6월 * 3명</t>
    <phoneticPr fontId="4" type="noConversion"/>
  </si>
  <si>
    <t xml:space="preserve">   - 야간근무수당: 11,190원 * 50% * 5시간 * 10일 * 6월 * 3명</t>
    <phoneticPr fontId="77" type="noConversion"/>
  </si>
  <si>
    <t xml:space="preserve">   - 연차휴가수당: 89,520원*3명*10일</t>
    <phoneticPr fontId="77" type="noConversion"/>
  </si>
  <si>
    <t xml:space="preserve"> ○ 청소원(굴전 / 4시간 근로자)</t>
    <phoneticPr fontId="4" type="noConversion"/>
  </si>
  <si>
    <t xml:space="preserve">   - 인부임: 44,760원 * 1명 * 5일 * 26주</t>
    <phoneticPr fontId="4" type="noConversion"/>
  </si>
  <si>
    <t xml:space="preserve">   - 주휴수당: 44,760원 * 1명 * 26일</t>
    <phoneticPr fontId="4" type="noConversion"/>
  </si>
  <si>
    <t xml:space="preserve">   - 휴일근무수당: 44,760원 * 1명 * 15일 * 150%</t>
    <phoneticPr fontId="4" type="noConversion"/>
  </si>
  <si>
    <t xml:space="preserve">   - 연차휴가수당: 44,760 * 1명 * 10일</t>
    <phoneticPr fontId="4" type="noConversion"/>
  </si>
  <si>
    <t xml:space="preserve"> ○ 시설관리원(금오도)</t>
    <phoneticPr fontId="77" type="noConversion"/>
  </si>
  <si>
    <t xml:space="preserve">   - 인부임: 89,520원 * 1명 * 5일 * 20주</t>
    <phoneticPr fontId="77" type="noConversion"/>
  </si>
  <si>
    <t xml:space="preserve">   - 주휴수당: 89,520원 * 1명 * 20일</t>
    <phoneticPr fontId="77" type="noConversion"/>
  </si>
  <si>
    <t xml:space="preserve">   - 휴일근무수당: 89,520원 * 1명 * 10일 * 150%</t>
    <phoneticPr fontId="4" type="noConversion"/>
  </si>
  <si>
    <t xml:space="preserve">   - 연차휴가수당: 89,520원 * 1명 * 10일</t>
    <phoneticPr fontId="77" type="noConversion"/>
  </si>
  <si>
    <t>○ 홍보물 제작: 2,000원 * 1,500매</t>
    <phoneticPr fontId="4" type="noConversion"/>
  </si>
  <si>
    <t>○ 종량제봉투 구입(75L): 1,800원 * 1,000매</t>
    <phoneticPr fontId="4" type="noConversion"/>
  </si>
  <si>
    <t>○ 종량제봉투 구입(50L): 1,200원 * 1,500매</t>
    <phoneticPr fontId="4" type="noConversion"/>
  </si>
  <si>
    <t>○ 침구류 관련 소모품 구입(베개커버 등): 600,000원 * 2회</t>
    <phoneticPr fontId="4" type="noConversion"/>
  </si>
  <si>
    <t>○ 청소용품, 세탁용품 등 구입: 200,000원 * 8회</t>
    <phoneticPr fontId="4" type="noConversion"/>
  </si>
  <si>
    <t>○ 소규모 전자제품 등 구입: 400,000원 * 3회</t>
    <phoneticPr fontId="4" type="noConversion"/>
  </si>
  <si>
    <t>○ 보안프로그램 임대료(알약): 22,000원 * 3대</t>
    <phoneticPr fontId="4" type="noConversion"/>
  </si>
  <si>
    <t>○ 사무용품, 시설관리용품 구입: 300,000원 * 6회</t>
    <phoneticPr fontId="4" type="noConversion"/>
  </si>
  <si>
    <t>○ 객실비품 및 위생용품 구입: 300,000원 * 6회</t>
    <phoneticPr fontId="4" type="noConversion"/>
  </si>
  <si>
    <t>○ 화재 시 대피용 구조 숨수건 구매: 50,000원(10매) * 10식</t>
    <phoneticPr fontId="4" type="noConversion"/>
  </si>
  <si>
    <r>
      <t>○</t>
    </r>
    <r>
      <rPr>
        <b/>
        <sz val="10"/>
        <color theme="1"/>
        <rFont val="굴림"/>
        <family val="3"/>
        <charset val="129"/>
      </rPr>
      <t xml:space="preserve"> </t>
    </r>
    <r>
      <rPr>
        <sz val="10"/>
        <color theme="1"/>
        <rFont val="굴림"/>
        <family val="3"/>
        <charset val="129"/>
      </rPr>
      <t>소프트웨어(한글, ms오피스)구입비: 700,000원 * 1식</t>
    </r>
    <phoneticPr fontId="4" type="noConversion"/>
  </si>
  <si>
    <t>=</t>
    <phoneticPr fontId="3" type="noConversion"/>
  </si>
  <si>
    <t>○ 신용카드 결제수수료: 200,000원 * 12월</t>
    <phoneticPr fontId="4" type="noConversion"/>
  </si>
  <si>
    <t>○ 방역(방제), 물탱크 청소 용역: 380,000원 * 12월</t>
    <phoneticPr fontId="4" type="noConversion"/>
  </si>
  <si>
    <t>○ 전기설비 안전관리 대행수수료: 250,000원 * 12월</t>
    <phoneticPr fontId="4" type="noConversion"/>
  </si>
  <si>
    <t>○ 소방시설 안전관리 대행수수료: 280,000원 * 12월</t>
    <phoneticPr fontId="4" type="noConversion"/>
  </si>
  <si>
    <t>○ 오수처리시설 위탁관리 대행수수료: 450,000원 * 12월</t>
    <phoneticPr fontId="4" type="noConversion"/>
  </si>
  <si>
    <t>○ 방범시스템 및 AED 사용 수수료: 230,000원 * 2대 * 12월</t>
    <phoneticPr fontId="4" type="noConversion"/>
  </si>
  <si>
    <t>○ 지문인식기(근태관리) 임차료: 27,500원 * 2대 * 12월</t>
    <phoneticPr fontId="4" type="noConversion"/>
  </si>
  <si>
    <t xml:space="preserve"> ○ 사무실 복합기 대여료: 150,000원 * 12월 * 1대(굴전)</t>
    <phoneticPr fontId="4" type="noConversion"/>
  </si>
  <si>
    <t xml:space="preserve"> ○ 야영장 관리 업무 차량 임차료: 800,000원 * 12월</t>
    <phoneticPr fontId="4" type="noConversion"/>
  </si>
  <si>
    <t xml:space="preserve"> ○ 정수기 월 임차료: 35,000원 * 12월 * 2대(굴전 1, 금오도 1)</t>
    <phoneticPr fontId="4" type="noConversion"/>
  </si>
  <si>
    <t xml:space="preserve">  ○ 급식비: 9,000원 * 10일 * 12월</t>
    <phoneticPr fontId="3" type="noConversion"/>
  </si>
  <si>
    <t xml:space="preserve">  ○ 피복구입비</t>
    <phoneticPr fontId="77" type="noConversion"/>
  </si>
  <si>
    <t xml:space="preserve">    - 춘추복: 150,000원 * 10명 * 2회</t>
    <phoneticPr fontId="3" type="noConversion"/>
  </si>
  <si>
    <t xml:space="preserve">    - 동복: 300,000원 * 10명 * 1회</t>
    <phoneticPr fontId="3" type="noConversion"/>
  </si>
  <si>
    <t xml:space="preserve">  ○ 상수도 요금: 500,000원 * 12월</t>
    <phoneticPr fontId="4" type="noConversion"/>
  </si>
  <si>
    <t xml:space="preserve">  ○ 전기요금: 1,200,000원 * 12월</t>
    <phoneticPr fontId="4" type="noConversion"/>
  </si>
  <si>
    <t>○ 통신요금: 200,000원 * 12월</t>
    <phoneticPr fontId="4" type="noConversion"/>
  </si>
  <si>
    <t>○ TV수신료: 3,000원 * 13대 * 12월</t>
    <phoneticPr fontId="4" type="noConversion"/>
  </si>
  <si>
    <t>○ 문자메시지 요금: 30,000원 * 12월</t>
    <phoneticPr fontId="4" type="noConversion"/>
  </si>
  <si>
    <t xml:space="preserve"> ○ 업무용 차량(전기차) 충전요금: 100,000원 * 1대 * 12월</t>
    <phoneticPr fontId="4" type="noConversion"/>
  </si>
  <si>
    <t xml:space="preserve"> ○ (굴전) 업무추진 관내여비: 20,000원 * 1명 * 10회 * 12월</t>
    <phoneticPr fontId="77" type="noConversion"/>
  </si>
  <si>
    <t xml:space="preserve"> ○ (금오도) 업무추진 관내여비: 85,000원 * 1명 * 2회 * 12월</t>
    <phoneticPr fontId="77" type="noConversion"/>
  </si>
  <si>
    <t xml:space="preserve"> ○ 부서운영 업무추진비: 200,000원 * 12월</t>
    <phoneticPr fontId="4" type="noConversion"/>
  </si>
  <si>
    <t xml:space="preserve"> ○ 사용자 귀책사유로 인한 객실 이용불가 시 배상: 1,000,000원 * 1개소</t>
    <phoneticPr fontId="3" type="noConversion"/>
  </si>
  <si>
    <t xml:space="preserve"> ○ 야영장 노후시설물 유지보수비</t>
    <phoneticPr fontId="4" type="noConversion"/>
  </si>
  <si>
    <t xml:space="preserve">   - (굴전, 금오도) 소규모 시설물 유지보수비: 13,000,000원 * 1식</t>
    <phoneticPr fontId="77" type="noConversion"/>
  </si>
  <si>
    <t xml:space="preserve">   - 긴급 안전조치(시설물), 안전보건(중대산업재해) 비용: 1,000,000원 * 1회</t>
    <phoneticPr fontId="4" type="noConversion"/>
  </si>
  <si>
    <t xml:space="preserve">   - 예약 시스템 유지보수비: 700,000원 * 1식</t>
    <phoneticPr fontId="3" type="noConversion"/>
  </si>
  <si>
    <t>12 수탁자산취득비(공영주차장)</t>
    <phoneticPr fontId="4" type="noConversion"/>
  </si>
  <si>
    <t xml:space="preserve"> ○ 관제시스템 및 소방, 전기 장비 구입비: 30,000,000원 * 1식</t>
    <phoneticPr fontId="3" type="noConversion"/>
  </si>
  <si>
    <t>12 수탁자산취득비(봉황산자연휴양림)</t>
    <phoneticPr fontId="4" type="noConversion"/>
  </si>
  <si>
    <t xml:space="preserve"> ○ 데스크톱 컴퓨터: 1,000,000원 * 2대</t>
    <phoneticPr fontId="4" type="noConversion"/>
  </si>
  <si>
    <t xml:space="preserve"> ○ 액정 모니터: 300,000원 * 2대</t>
    <phoneticPr fontId="4" type="noConversion"/>
  </si>
  <si>
    <t>12 수탁자산취득비</t>
    <phoneticPr fontId="4" type="noConversion"/>
  </si>
  <si>
    <t xml:space="preserve"> ○ (굴전, 금오도) 야영장 운영에 필요한 가전, 가구 등 구입비: 3,000,000원 * 1식</t>
    <phoneticPr fontId="4" type="noConversion"/>
  </si>
  <si>
    <t>굴전∙금오도 야영장 운영</t>
    <phoneticPr fontId="4" type="noConversion"/>
  </si>
  <si>
    <t>21 공공요금 및 제세</t>
  </si>
  <si>
    <t>다. 지출예산(세부사업) - 도시미화부 생활폐기물</t>
    <phoneticPr fontId="3" type="noConversion"/>
  </si>
  <si>
    <t>구분</t>
    <phoneticPr fontId="3" type="noConversion"/>
  </si>
  <si>
    <t>101  인건비</t>
  </si>
  <si>
    <t>03 무기계약근로자보수</t>
  </si>
  <si>
    <t>04 기간제근로자등보수</t>
  </si>
  <si>
    <t>01  사무관리비</t>
  </si>
  <si>
    <t>22 차량 · 선박비</t>
    <phoneticPr fontId="4" type="noConversion"/>
  </si>
  <si>
    <t>202  여비</t>
  </si>
  <si>
    <t>01  국내여비</t>
    <phoneticPr fontId="4" type="noConversion"/>
  </si>
  <si>
    <t>02 연구용역비</t>
    <phoneticPr fontId="4" type="noConversion"/>
  </si>
  <si>
    <t>217  관서업무비</t>
  </si>
  <si>
    <t>02  부서업무비</t>
  </si>
  <si>
    <t>환경사원 안전개선 사업</t>
    <phoneticPr fontId="3" type="noConversion"/>
  </si>
  <si>
    <t>15  복리후생비</t>
  </si>
  <si>
    <t>환경사원 복지관 및 청소차량 유지보수</t>
    <phoneticPr fontId="3" type="noConversion"/>
  </si>
  <si>
    <t>214  수선유지교체비</t>
  </si>
  <si>
    <t>05  수선유지비</t>
  </si>
  <si>
    <t>04 기간제근로자등보수</t>
    <phoneticPr fontId="4" type="noConversion"/>
  </si>
  <si>
    <t>종량제물품 공급관리</t>
    <phoneticPr fontId="3" type="noConversion"/>
  </si>
  <si>
    <t>01 국내여비</t>
    <phoneticPr fontId="3" type="noConversion"/>
  </si>
  <si>
    <t>02  부서업무비</t>
    <phoneticPr fontId="4" type="noConversion"/>
  </si>
  <si>
    <t>노후 청소차량 적기 교체(차량운반구)</t>
    <phoneticPr fontId="3" type="noConversion"/>
  </si>
  <si>
    <t>405 자산취득비</t>
    <phoneticPr fontId="3" type="noConversion"/>
  </si>
  <si>
    <t>12 수탁자산취득비</t>
    <phoneticPr fontId="3" type="noConversion"/>
  </si>
  <si>
    <t>환경사원복지관 자산비품 구입(공기구비품)</t>
    <phoneticPr fontId="3" type="noConversion"/>
  </si>
  <si>
    <t>종량제물품 공급관리센터 자산비품 구입</t>
    <phoneticPr fontId="3" type="noConversion"/>
  </si>
  <si>
    <t xml:space="preserve"> 03 무기계약근로자보수</t>
    <phoneticPr fontId="4" type="noConversion"/>
  </si>
  <si>
    <t xml:space="preserve"> [반장]</t>
    <phoneticPr fontId="4" type="noConversion"/>
  </si>
  <si>
    <t xml:space="preserve"> ○ 기본급</t>
    <phoneticPr fontId="4" type="noConversion"/>
  </si>
  <si>
    <t xml:space="preserve">  - 별정 7급(31호봉): 4,535,560원 * 1명 * 12월</t>
  </si>
  <si>
    <t xml:space="preserve">  - 별정 7급(26호봉): 4,343,980원 * 1명 * 12월</t>
  </si>
  <si>
    <t xml:space="preserve"> ○ 장려수당: 70,000원 * 2명 * 12월</t>
  </si>
  <si>
    <t xml:space="preserve"> ○ 정액급식비: 190,000원 * 2명 * 12월</t>
  </si>
  <si>
    <t xml:space="preserve"> ○ 상여금 : 정근수당</t>
    <phoneticPr fontId="4" type="noConversion"/>
  </si>
  <si>
    <t xml:space="preserve">  - 별정 7급(31호봉): 4,795,560원 * 100% * 1명 (50%씩 1, 7월 지급)</t>
  </si>
  <si>
    <t xml:space="preserve">  - 별정 7급(26호봉): 4,603,980원 * 100% * 1명 (50%씩 1, 7월 지급)</t>
  </si>
  <si>
    <t xml:space="preserve"> ○ 가족수당</t>
    <phoneticPr fontId="4" type="noConversion"/>
  </si>
  <si>
    <t xml:space="preserve">  -  배우자: 40,000원 * 1명 * 12월</t>
  </si>
  <si>
    <t xml:space="preserve">  -  직계존속: 20,000원 * 1명 * 12월</t>
  </si>
  <si>
    <t xml:space="preserve"> ○ 정근수당 가산금: 25년 이상 130,000원 * 2명 * 12월</t>
  </si>
  <si>
    <t xml:space="preserve"> ○ 직급보조비: 별정 7급 180,000원 * 2명 * 12월</t>
  </si>
  <si>
    <t xml:space="preserve"> ○ 초과근무수당</t>
    <phoneticPr fontId="4" type="noConversion"/>
  </si>
  <si>
    <t xml:space="preserve">  - 시간외근무수당: 26,800원 * 150% * 2시간 * 2명 * 12월</t>
  </si>
  <si>
    <t xml:space="preserve">  - 휴일근무수당: 26,800원 * 150% * 8시간 * 2명 * 70일</t>
  </si>
  <si>
    <t xml:space="preserve">  - 야간근무수당: 26,800원 * 50% * 1시간 * 2명 * 300일</t>
  </si>
  <si>
    <t xml:space="preserve"> ○ 미사용 연차수당: 214,400원 * 2명 * 20일</t>
  </si>
  <si>
    <t xml:space="preserve"> ○ 명절휴가비</t>
    <phoneticPr fontId="4" type="noConversion"/>
  </si>
  <si>
    <t xml:space="preserve">  - 별정 7급(31호봉): 4,535,560원 * 120% * 1명 (60%씩 설, 추석 지급)</t>
  </si>
  <si>
    <t xml:space="preserve">  - 별정 7급(26호봉): 4,535,560원 * 120% * 1명 (60%씩 설, 추석 지급)</t>
  </si>
  <si>
    <t xml:space="preserve"> [환경사원] 13호봉 기준(평균)</t>
    <phoneticPr fontId="4" type="noConversion"/>
  </si>
  <si>
    <t xml:space="preserve"> ○ 기본급: 13호봉(평균) 2,175,090원 * 272명 * 12월</t>
    <phoneticPr fontId="4" type="noConversion"/>
  </si>
  <si>
    <t xml:space="preserve"> ○ 특수업무수당: 90,000원 * 272명 * 12월</t>
    <phoneticPr fontId="4" type="noConversion"/>
  </si>
  <si>
    <t xml:space="preserve"> ○ 작업장려수당: 70,000원 * 272명 * 12월</t>
    <phoneticPr fontId="4" type="noConversion"/>
  </si>
  <si>
    <t xml:space="preserve"> ○ 정액급식비: 190,000원 * 272명 * 12월</t>
    <phoneticPr fontId="4" type="noConversion"/>
  </si>
  <si>
    <t xml:space="preserve"> ○ 상여금</t>
    <phoneticPr fontId="4" type="noConversion"/>
  </si>
  <si>
    <t xml:space="preserve">  - 기말수당: 2,525,090원 * 200% * 272명</t>
    <phoneticPr fontId="4" type="noConversion"/>
  </si>
  <si>
    <t xml:space="preserve">  - 체력단련비: 2,525,090원 * 250% * 272명</t>
    <phoneticPr fontId="4" type="noConversion"/>
  </si>
  <si>
    <t xml:space="preserve">  - 정근수당: 2,525,090원 * 100% * 272명</t>
    <phoneticPr fontId="4" type="noConversion"/>
  </si>
  <si>
    <t xml:space="preserve">  - 배우자: 40,000원 * 190명 * 12월</t>
  </si>
  <si>
    <t xml:space="preserve">  - 직계존비속: 20,000원 * 90명 * 12월</t>
  </si>
  <si>
    <t xml:space="preserve">  - 첫째: 50,000원 * 90명 * 12월</t>
  </si>
  <si>
    <t xml:space="preserve">  - 둘째: 80,000원 * 90명 * 12월</t>
  </si>
  <si>
    <t xml:space="preserve">  - 셋째 이상: 120,000원 * 40명 * 12월</t>
  </si>
  <si>
    <t xml:space="preserve"> ○ 정근수당가산금</t>
    <phoneticPr fontId="4" type="noConversion"/>
  </si>
  <si>
    <t xml:space="preserve">  - 5년 미만: 27,000원 * 27명 * 12월</t>
    <phoneticPr fontId="4" type="noConversion"/>
  </si>
  <si>
    <t xml:space="preserve">  - 5년 이상 10년 미만: 45,000원 * 99명 * 12월</t>
    <phoneticPr fontId="4" type="noConversion"/>
  </si>
  <si>
    <t xml:space="preserve">  - 10년 이상 15년 미만: 54,000원 * 130명 * 12월</t>
  </si>
  <si>
    <t xml:space="preserve">  - 15년 이상 20년 미만: 72,000원 * 14명 * 12월</t>
  </si>
  <si>
    <t xml:space="preserve">  - 시간외근무수당: 19,000원 * 150% * 4시간 * 80명 * 12월</t>
  </si>
  <si>
    <t xml:space="preserve">  - 휴일근무수당: 19,000원 * 150% * 8시간 * 272명 * 70일</t>
    <phoneticPr fontId="4" type="noConversion"/>
  </si>
  <si>
    <t xml:space="preserve">  - 야간근무수당: 19,000원 * 50% * 1시간 * 272명 * 300일</t>
    <phoneticPr fontId="4" type="noConversion"/>
  </si>
  <si>
    <t xml:space="preserve"> ○ 미사용 연차수당: 152,000원 * 200명 * 18일</t>
  </si>
  <si>
    <t xml:space="preserve"> ○ 명절휴가비 : 2,525,090원 * 272명 * 120% (60%씩 설, 추석 지급)</t>
    <phoneticPr fontId="4" type="noConversion"/>
  </si>
  <si>
    <t xml:space="preserve"> ○ 탑승수당</t>
    <phoneticPr fontId="4" type="noConversion"/>
  </si>
  <si>
    <t xml:space="preserve">  - 월 16일 이상 차량탑승자: 10,000원 * 140명 * 12월</t>
  </si>
  <si>
    <t xml:space="preserve">  - 가로청소 탑승업무 지원: 20,000원 * 50명 * 12월</t>
  </si>
  <si>
    <t xml:space="preserve"> ○ 조장수당: 차량반, 가로청소반 조장 100,000원 * 11명 * 12월</t>
  </si>
  <si>
    <t xml:space="preserve"> ○ 운전수당: 청소차 운전원 40,000원 * 56명 * 12월</t>
  </si>
  <si>
    <t xml:space="preserve"> 04 기간제근로자등보수</t>
    <phoneticPr fontId="4" type="noConversion"/>
  </si>
  <si>
    <t xml:space="preserve"> [당직전담원]</t>
    <phoneticPr fontId="4" type="noConversion"/>
  </si>
  <si>
    <t xml:space="preserve"> ○ 일당: 174,380원 * 2명 * 16일 * 12월</t>
  </si>
  <si>
    <t xml:space="preserve"> ○ 미사용 연차수당: 174,380원 * 2명 * 15일</t>
  </si>
  <si>
    <t xml:space="preserve"> ○ 청소용품 구입비</t>
    <phoneticPr fontId="4" type="noConversion"/>
  </si>
  <si>
    <t xml:space="preserve">  - 대비: 4,000원 * 200개 * 3회</t>
  </si>
  <si>
    <t xml:space="preserve">  - 야자빗자루: 6,500원 * 80개 * 3회</t>
  </si>
  <si>
    <t xml:space="preserve">  - 쓰레받이: 8,000원 * 70개 * 3회</t>
  </si>
  <si>
    <t xml:space="preserve">  - 마대(대): 600원 * 1000장 * 1회</t>
    <phoneticPr fontId="4" type="noConversion"/>
  </si>
  <si>
    <t xml:space="preserve">  - 삽: 6,000원 * 100명 * 1회</t>
  </si>
  <si>
    <t xml:space="preserve">  - 음식물 수거용기(60ℓ): 33,000원 * 10개 * 1회</t>
  </si>
  <si>
    <t xml:space="preserve">  - 음식물 수거용기(120ℓ): 50,000원 * 50개 * 1회</t>
  </si>
  <si>
    <t xml:space="preserve">  - 음식물 수거용기 바퀴교체: 10,000원 * 50개 * 2개 * 1회</t>
  </si>
  <si>
    <t xml:space="preserve">  - 청소차비산방지덮개(진개덤프): 50,000원 * 16대 * 1회</t>
  </si>
  <si>
    <t xml:space="preserve">  - 기타소모품비(비품, 차류 등): 300,000원 * 1회 * 12월</t>
  </si>
  <si>
    <t xml:space="preserve"> ○ 사무용품 등 구입비</t>
    <phoneticPr fontId="4" type="noConversion"/>
  </si>
  <si>
    <t xml:space="preserve">  - 복사용지 구입(A4): 23,000원 * 30박스 * 2회</t>
    <phoneticPr fontId="4" type="noConversion"/>
  </si>
  <si>
    <t xml:space="preserve">  - 복사용지 구입(A3): 25,000원 * 4박스 * 2회</t>
    <phoneticPr fontId="4" type="noConversion"/>
  </si>
  <si>
    <t xml:space="preserve">  - 사무용품 구입비: 300,000원 * 12회</t>
  </si>
  <si>
    <t xml:space="preserve">  - PC 유지보수 및 소모품 구입: 200,000원 * 10대 * 1회</t>
  </si>
  <si>
    <t xml:space="preserve">  - 각종 서식 인쇄 및 제작(차량운행일지 등): 700,000원 * 3회</t>
  </si>
  <si>
    <t xml:space="preserve">  - 복지관위생용품(화장지,방향제) 구입: 300,000원 * 12회</t>
  </si>
  <si>
    <t xml:space="preserve"> ○ 현수막 제작비: 80,000원 * 4회</t>
  </si>
  <si>
    <t xml:space="preserve"> ○ 공공기관 유류 공동구매 등 나라장터 이용 수수료: 300,000원 * 2회</t>
    <phoneticPr fontId="4" type="noConversion"/>
  </si>
  <si>
    <t xml:space="preserve"> ○ 시민 홍보물품 제작 구입비: 15,000원 * 100개 * 1회</t>
  </si>
  <si>
    <t xml:space="preserve"> ○ 환경사원 휴게실 생수 구입 및 정수기 소독비: 166,500원 * 4대 * 4회</t>
  </si>
  <si>
    <t xml:space="preserve"> ○ 불법배출 수거거부 스티커제작구입비: 150원 * 10,000매 * 2회</t>
  </si>
  <si>
    <t xml:space="preserve"> ○ 휴게실 모포 세탁비: 8,000원 * 50개 * 4회</t>
    <phoneticPr fontId="4" type="noConversion"/>
  </si>
  <si>
    <t xml:space="preserve"> ○ 범용 S/W 구입비: 알약 27,000원 * 15대</t>
  </si>
  <si>
    <t xml:space="preserve"> ○ 청소차량 및 사무실 구급약품 구입: 400,000원 * 1식</t>
  </si>
  <si>
    <t xml:space="preserve"> ○ 지급수수료</t>
    <phoneticPr fontId="4" type="noConversion"/>
  </si>
  <si>
    <t xml:space="preserve">  - 청소차량 정기검사: 70,000원 * 70대 * 1회</t>
  </si>
  <si>
    <t xml:space="preserve">  - CNG청소차량 내압용기 검사: 400,000원 * 20대 * 1회</t>
  </si>
  <si>
    <t xml:space="preserve">  - 환경사원인사급여프로그램 유지 보수: 194,860원 * 12월</t>
  </si>
  <si>
    <t xml:space="preserve">  - 환경사원복지관, 정비동 무인경비용역비: 121,000원 * 12월</t>
  </si>
  <si>
    <t xml:space="preserve"> ○  로드킬 동물사체 수거 처리 용역비</t>
    <phoneticPr fontId="4" type="noConversion"/>
  </si>
  <si>
    <t xml:space="preserve">  - 2,000건[1,700건(수거) + 300(미수거)] / 동물사체 수거(건당 77,500원, 미수거(건당 52,410원)</t>
    <phoneticPr fontId="4" type="noConversion"/>
  </si>
  <si>
    <t xml:space="preserve"> ○ 임대료</t>
    <phoneticPr fontId="4" type="noConversion"/>
  </si>
  <si>
    <t xml:space="preserve">  - 환경사원복지관 정수기 임대: 120,000원 * 12월</t>
  </si>
  <si>
    <t xml:space="preserve">  - 환경사원복지관 비데 임대: 20,000원 * 7개 * 12월</t>
  </si>
  <si>
    <t xml:space="preserve">  - 환경사원복지관 공기청정기 임대: 35,000원 * 2개 * 12월</t>
    <phoneticPr fontId="4" type="noConversion"/>
  </si>
  <si>
    <t xml:space="preserve">  - 환경사원복지관 컬러복합기 임대: 192,000원 * 1대 * 12월</t>
  </si>
  <si>
    <t xml:space="preserve">  - 청소차량 정비고 컬러복합기 임대: 58,000원 * 1대 * 12월</t>
  </si>
  <si>
    <t xml:space="preserve">  - 환경사원 휴게실 흑백복합기 임대: 53,000원 * 1대 * 12월</t>
  </si>
  <si>
    <t xml:space="preserve">  - 환경사원복지관 CCTV 임대: 77,000원 * 12월</t>
  </si>
  <si>
    <t xml:space="preserve"> ○ 공유재산 사용료: 환경사원복지관 외 2필지 62,000,000원 * 1회</t>
    <phoneticPr fontId="4" type="noConversion"/>
  </si>
  <si>
    <t xml:space="preserve"> ○ 예비운전원 실기시험장 대여료: 550,000원 * 2회</t>
  </si>
  <si>
    <t xml:space="preserve"> ○ 지방소득세(종업원분): 19,359,385,000원 * 0.5%</t>
    <phoneticPr fontId="4" type="noConversion"/>
  </si>
  <si>
    <t xml:space="preserve"> ○ 자동차세: 90,000원 * 85대 * 1회</t>
  </si>
  <si>
    <t xml:space="preserve"> ○ 환경사원복지관 공공요금</t>
    <phoneticPr fontId="4" type="noConversion"/>
  </si>
  <si>
    <t xml:space="preserve">  - 환경사원복지관 전기요금: 1,800,000원 * 12월</t>
  </si>
  <si>
    <t xml:space="preserve">  - 환경사원복지관 수도요금: 328,000원 * 12월</t>
    <phoneticPr fontId="4" type="noConversion"/>
  </si>
  <si>
    <t xml:space="preserve">  - 환경사원복지관 전화요금: 600,000원 * 12월</t>
  </si>
  <si>
    <t xml:space="preserve"> ○ 청소차량 보험료: 1,600,000원 * 85대 * 1회</t>
  </si>
  <si>
    <t xml:space="preserve"> ○ 도서지역 폐기물 운반 선박비: 2,500,000원 * 63회</t>
    <phoneticPr fontId="4" type="noConversion"/>
  </si>
  <si>
    <t xml:space="preserve"> ○ 청소차량 유류비</t>
    <phoneticPr fontId="4" type="noConversion"/>
  </si>
  <si>
    <t xml:space="preserve">  - 8000cc(경유): 40,000km * 34대 * 1,350원 * 0.3</t>
  </si>
  <si>
    <t xml:space="preserve">  - 6000cc(CNG): 43,000km * 25대 * 1,050원 * 0.41</t>
  </si>
  <si>
    <t xml:space="preserve">  - 2500cc(경유): 26,000km * 8대 * 1,350원 * 0.3</t>
  </si>
  <si>
    <t xml:space="preserve">  - 2500cc(LPG): 26,000km * 1대 * 1000원 * 0.41</t>
  </si>
  <si>
    <t xml:space="preserve"> ○ 청소차량 GPS 운영비: 16,500원 * 80대 * 12월</t>
  </si>
  <si>
    <t xml:space="preserve"> ○ 관내여비</t>
  </si>
  <si>
    <t xml:space="preserve">  - 청소업무 수행: 20,000원 * 6명 * 12일 * 12월</t>
  </si>
  <si>
    <t xml:space="preserve"> ○ 관외여비</t>
  </si>
  <si>
    <t xml:space="preserve">  - 청소차량 유지보수업무 수행: 110,000원 * 2명 * 8회</t>
  </si>
  <si>
    <t xml:space="preserve">  - 청소업무 유공직원 선진지 견학: 500,000원 * 10명 * 1회</t>
  </si>
  <si>
    <t xml:space="preserve">  - 청소대행사업 관련 벤치마킹 방문: 110,000원 * 3명 * 2회 * 1일</t>
  </si>
  <si>
    <t xml:space="preserve">  - 산업안전보건 강조주간 행사참여: 110,000원 * 10명 * 2회</t>
  </si>
  <si>
    <t xml:space="preserve"> ○ (신규) 위험성평가 컨설팅: 14,521,000원 * 1회</t>
    <phoneticPr fontId="4" type="noConversion"/>
  </si>
  <si>
    <t xml:space="preserve"> ○ 부서운영비(30인이하): 400,000원 * 12월</t>
  </si>
  <si>
    <t xml:space="preserve"> ○ 부서운영비(30인이상): 5,000원 * 250명 * 12월</t>
  </si>
  <si>
    <t xml:space="preserve"> ○ 환경사원 피복비</t>
    <phoneticPr fontId="4" type="noConversion"/>
  </si>
  <si>
    <t xml:space="preserve">  - 춘추 작업복: 160,000원 * 280명 * 1회 </t>
    <phoneticPr fontId="4" type="noConversion"/>
  </si>
  <si>
    <t xml:space="preserve">  - 하계 작업복: 80,000원 * 280명 * 1회</t>
    <phoneticPr fontId="4" type="noConversion"/>
  </si>
  <si>
    <t xml:space="preserve">  - 동절기 작업복: 180,000원 * 274명 * 1회 </t>
    <phoneticPr fontId="4" type="noConversion"/>
  </si>
  <si>
    <t xml:space="preserve">  - 방한복: 150,000원 * 280명 * 1회</t>
    <phoneticPr fontId="4" type="noConversion"/>
  </si>
  <si>
    <t xml:space="preserve">  - 우의: 60,000원 * 274명 * 1회</t>
    <phoneticPr fontId="4" type="noConversion"/>
  </si>
  <si>
    <t xml:space="preserve">  - 안전장화: 40,000원 * 274명 * 1회</t>
    <phoneticPr fontId="4" type="noConversion"/>
  </si>
  <si>
    <t xml:space="preserve">  - 안전화: 70,000원 * 274명 * 3회</t>
    <phoneticPr fontId="4" type="noConversion"/>
  </si>
  <si>
    <t xml:space="preserve">  - 춘추작업모: 10,000원 * 274명 * 1회</t>
  </si>
  <si>
    <t xml:space="preserve">  - 하계작업모: 20,000원 * 274명 * 1회</t>
  </si>
  <si>
    <t xml:space="preserve">  - 방한모: 23,000원 * 274명 * 1회</t>
    <phoneticPr fontId="4" type="noConversion"/>
  </si>
  <si>
    <t xml:space="preserve">  - 자외선차단마스크: 15,000원 * 274명 * 2개</t>
    <phoneticPr fontId="4" type="noConversion"/>
  </si>
  <si>
    <t xml:space="preserve">  - 안전모: 15,000원 * 274명 * 1회</t>
    <phoneticPr fontId="4" type="noConversion"/>
  </si>
  <si>
    <r>
      <t xml:space="preserve">  -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 xml:space="preserve"> 안전모 내피: 3,000원 * 274명 * 2개</t>
    </r>
    <phoneticPr fontId="4" type="noConversion"/>
  </si>
  <si>
    <t xml:space="preserve">  - 안전조끼: 35,000원 * 274명 * 2회</t>
    <phoneticPr fontId="4" type="noConversion"/>
  </si>
  <si>
    <t xml:space="preserve">  - 하절기 쿨토시: 10,000원 * 274명 * 1회</t>
  </si>
  <si>
    <t xml:space="preserve">  - 방진복: 10,000원 * 85개 * 6회</t>
    <phoneticPr fontId="4" type="noConversion"/>
  </si>
  <si>
    <t xml:space="preserve">  - 안전벨트(탑승원): 25,000원 * 10명 * 4회</t>
  </si>
  <si>
    <t xml:space="preserve">  - 작업용 장갑: 1,300원 * 274명 * 8개 * 12월</t>
    <phoneticPr fontId="4" type="noConversion"/>
  </si>
  <si>
    <t xml:space="preserve">  - 작업용 관절 보호대: 15,000 * 274개 * 2개</t>
    <phoneticPr fontId="4" type="noConversion"/>
  </si>
  <si>
    <r>
      <t xml:space="preserve">  -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 xml:space="preserve"> 방한용 넥워머: 15,000원 * 274개 * 1회</t>
    </r>
    <phoneticPr fontId="4" type="noConversion"/>
  </si>
  <si>
    <t xml:space="preserve">  - 베임방지 장갑: 7,000원 * 274명 * 2회</t>
  </si>
  <si>
    <t xml:space="preserve">  - 캡 라이트(헤드렌턴,배터리포함): 20,000원 * 230명 * 1회</t>
  </si>
  <si>
    <t xml:space="preserve">  - 마스크: 500원 * 274명 * 100회</t>
    <phoneticPr fontId="4" type="noConversion"/>
  </si>
  <si>
    <r>
      <t xml:space="preserve">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 xml:space="preserve"> 환경사원 자외선차단제(가이드라인 준수): 16,000원 * 274명 * 1회</t>
    </r>
    <phoneticPr fontId="4" type="noConversion"/>
  </si>
  <si>
    <t xml:space="preserve"> ○ 환경사원 목욕비: 4,000원 * 274명 * 26회 * 12월</t>
    <phoneticPr fontId="4" type="noConversion"/>
  </si>
  <si>
    <t xml:space="preserve"> ○ 벌레물림약 구입비: 10,000원 * 100개</t>
    <phoneticPr fontId="4" type="noConversion"/>
  </si>
  <si>
    <t xml:space="preserve"> ○ 폭염대비 식염포도당 구입비: 15,000원 * 20개</t>
    <phoneticPr fontId="4" type="noConversion"/>
  </si>
  <si>
    <t xml:space="preserve"> ○ 급식비: 9,000원 * 6명 * 8회 * 12월</t>
  </si>
  <si>
    <t xml:space="preserve"> ○ 청소차량 수리비: 7,000,000원 * 52대</t>
  </si>
  <si>
    <t xml:space="preserve"> ○ 노면 청소차 유지비(소형포함): 25,000,000원 * 1식</t>
  </si>
  <si>
    <t xml:space="preserve"> ○ 청소차량 리프트 설치비 : 4,500,000원 * 4대</t>
  </si>
  <si>
    <r>
      <rPr>
        <b/>
        <sz val="10"/>
        <color rgb="FFFF0000"/>
        <rFont val="굴림"/>
        <family val="3"/>
        <charset val="129"/>
      </rPr>
      <t xml:space="preserve"> (신규)</t>
    </r>
    <r>
      <rPr>
        <b/>
        <sz val="10"/>
        <rFont val="굴림"/>
        <family val="3"/>
        <charset val="129"/>
      </rPr>
      <t xml:space="preserve"> [2026 여수세계섬박람회 주행사장 발생 폐기물 수거운반원]</t>
    </r>
    <phoneticPr fontId="4" type="noConversion"/>
  </si>
  <si>
    <t xml:space="preserve"> ○ 기본급: (1호봉) 1,798,150원 * 4명 * 3월</t>
    <phoneticPr fontId="4" type="noConversion"/>
  </si>
  <si>
    <t xml:space="preserve"> ○ 특수업무수당: 90,000원 * 4명 * 3월</t>
    <phoneticPr fontId="4" type="noConversion"/>
  </si>
  <si>
    <t xml:space="preserve"> ○ 작업장려수당: 70,000원 * 4명 * 3월</t>
    <phoneticPr fontId="4" type="noConversion"/>
  </si>
  <si>
    <t xml:space="preserve"> ○ 정액급식비: 190,000원 * 4명 * 3월</t>
    <phoneticPr fontId="4" type="noConversion"/>
  </si>
  <si>
    <t xml:space="preserve">  - 기말수당: 2,148,150원 * 100% * 4명</t>
    <phoneticPr fontId="4" type="noConversion"/>
  </si>
  <si>
    <t xml:space="preserve">  - 체력단련비: 2,148,150원 * 150% * 4명</t>
    <phoneticPr fontId="4" type="noConversion"/>
  </si>
  <si>
    <t xml:space="preserve">  - 목욕비: 120,000원 * 4명 * 3월</t>
  </si>
  <si>
    <t xml:space="preserve"> ○ 가족수당: 70,000원 * 4명 * 3월</t>
  </si>
  <si>
    <t xml:space="preserve"> ○ 정근수당가산금: 27,000원 * 4명 * 3월</t>
  </si>
  <si>
    <t xml:space="preserve">  - 시간외근무수당: 14,620원 * 150% * 4시간 * 4명 * 2월</t>
    <phoneticPr fontId="4" type="noConversion"/>
  </si>
  <si>
    <t xml:space="preserve">  - 휴일근무수당: 14,620원 * 150% * 8시간 * 4명 * 12일</t>
    <phoneticPr fontId="4" type="noConversion"/>
  </si>
  <si>
    <t xml:space="preserve">  - 야간근무수당: 14,620원 * 50% * 1시간 * 4명 * 54일</t>
    <phoneticPr fontId="4" type="noConversion"/>
  </si>
  <si>
    <t xml:space="preserve"> ○ 미사용 연차수당: 14,620원 * 8시간 * 4명 * 3일</t>
    <phoneticPr fontId="4" type="noConversion"/>
  </si>
  <si>
    <t xml:space="preserve"> ○ 명절휴가비: 2,148,150원 * 4명 * 60% (추석 지급)</t>
    <phoneticPr fontId="4" type="noConversion"/>
  </si>
  <si>
    <t xml:space="preserve"> ○ 탑승수당 : 월 16일 이상 차량탑승자 10,000원 * 3명 * 3월</t>
    <phoneticPr fontId="4" type="noConversion"/>
  </si>
  <si>
    <r>
      <rPr>
        <b/>
        <sz val="10"/>
        <color rgb="FFFF0000"/>
        <rFont val="굴림"/>
        <family val="3"/>
        <charset val="129"/>
      </rPr>
      <t xml:space="preserve"> (신규)</t>
    </r>
    <r>
      <rPr>
        <b/>
        <sz val="10"/>
        <rFont val="굴림"/>
        <family val="3"/>
        <charset val="129"/>
      </rPr>
      <t xml:space="preserve"> [2026 여수세계섬박람회 도서지역 폐기물 운반 선박비]</t>
    </r>
    <phoneticPr fontId="4" type="noConversion"/>
  </si>
  <si>
    <t xml:space="preserve"> ○ 도서지역 폐기물 운반 선박비: 2,500,000원 * 12회</t>
    <phoneticPr fontId="4" type="noConversion"/>
  </si>
  <si>
    <t xml:space="preserve"> ○ 사무용품구입</t>
    <phoneticPr fontId="4" type="noConversion"/>
  </si>
  <si>
    <t xml:space="preserve">  - 복사용지 및 소모품비(토너): 100,000원 * 12개월</t>
    <phoneticPr fontId="4" type="noConversion"/>
  </si>
  <si>
    <t xml:space="preserve">  - 사무용품 구입비: 100,000원 * 12월</t>
  </si>
  <si>
    <t xml:space="preserve"> ○ 컴퓨터 및 복사기 수리비: 100,000원 * 3대 * 1회</t>
  </si>
  <si>
    <t xml:space="preserve"> ○ 청소용품 및 장갑 등: 300,000원 * 1회</t>
  </si>
  <si>
    <t xml:space="preserve"> ○ 범용 S/W 구입비: 알약 27,000원 * 3대</t>
  </si>
  <si>
    <t xml:space="preserve"> ○ 판매관리시스템 및 모바일 앱 유지관리비: 560,000원 * 12개월</t>
  </si>
  <si>
    <t xml:space="preserve"> ○ 무인방범 및 CCTV 관리수수료: 90,000원 * 12개월 </t>
  </si>
  <si>
    <t xml:space="preserve"> ○ 신용카드 단말기 사용료: 11,000원 * 12개월</t>
  </si>
  <si>
    <t>=</t>
    <phoneticPr fontId="77" type="noConversion"/>
  </si>
  <si>
    <t xml:space="preserve"> ○ 신용카드 결제서비스 대행수수료</t>
    <phoneticPr fontId="4" type="noConversion"/>
  </si>
  <si>
    <t xml:space="preserve">  - 연간카드판매액 * 수수료율 = 1,800,000,000원 * 2.86%</t>
  </si>
  <si>
    <t xml:space="preserve"> ○ 물품판매관리 서버 임대 및 운영수수료: 800,000원 * 12개월</t>
  </si>
  <si>
    <t xml:space="preserve"> ○ 정수기 렌탈료: 22,000원 * 12개월 * 1대</t>
    <phoneticPr fontId="4" type="noConversion"/>
  </si>
  <si>
    <t xml:space="preserve"> ○ 공기청정기 렌탈료: 40,000원 * 12개월 * 1대</t>
  </si>
  <si>
    <t xml:space="preserve"> ○ 냉난방기 렌탈료: 55,000원 * 12개월 * 1대</t>
    <phoneticPr fontId="4" type="noConversion"/>
  </si>
  <si>
    <r>
      <t xml:space="preserve"> ○ </t>
    </r>
    <r>
      <rPr>
        <sz val="10"/>
        <color rgb="FFFF0000"/>
        <rFont val="굴림"/>
        <family val="3"/>
        <charset val="129"/>
      </rPr>
      <t>(신규)</t>
    </r>
    <r>
      <rPr>
        <sz val="10"/>
        <rFont val="굴림"/>
        <family val="3"/>
        <charset val="129"/>
      </rPr>
      <t xml:space="preserve"> 물품창고 공기청정기 렌탈료: 60,000원 * 12개월 * 1대</t>
    </r>
    <phoneticPr fontId="4" type="noConversion"/>
  </si>
  <si>
    <t xml:space="preserve"> ○ 배송차량 임차료: 850,000원 * 12개월 * 1대</t>
  </si>
  <si>
    <t xml:space="preserve"> ○ 비데 렌탈료: 22,000원 * 12개월 * 2대</t>
    <phoneticPr fontId="4" type="noConversion"/>
  </si>
  <si>
    <t xml:space="preserve">  - 근무복(동절기,하절기): 180,000원 * 3명 * 2회</t>
  </si>
  <si>
    <t xml:space="preserve">  - 방한복: 200,000원 * 3명 * 1회</t>
  </si>
  <si>
    <t xml:space="preserve"> ○ 야간근무자 급량비: 9,000원 * 10일 * 12개월 </t>
  </si>
  <si>
    <t xml:space="preserve"> ○ 일반전화 및 인터넷전용회선요금등: 200,000원 * 12개월    </t>
  </si>
  <si>
    <t xml:space="preserve"> ○ 문자메시지 발송비: 대량 문자발송(지정판매소 전체) 800,000원 * 1식</t>
  </si>
  <si>
    <t xml:space="preserve"> ○ 택배비(도서지역 등기우편): 100,000원 * 12개월</t>
  </si>
  <si>
    <t xml:space="preserve"> ○ 전기요금: 450,000원 * 12개월</t>
    <phoneticPr fontId="4" type="noConversion"/>
  </si>
  <si>
    <t xml:space="preserve"> ○ 상하수도요금: 40,000원 * 12개월</t>
  </si>
  <si>
    <t xml:space="preserve"> ○ 화재보험료: 320,000원 * 1회</t>
  </si>
  <si>
    <t>22 차량선박비</t>
    <phoneticPr fontId="4" type="noConversion"/>
  </si>
  <si>
    <t xml:space="preserve"> ○ 배송차량 유류비: 3,000cc(경유) 21,000km * 1대 * 1,500원 * 0.16</t>
  </si>
  <si>
    <t xml:space="preserve"> ○ 차량운행관리(GPS) 수수료: 16,500원 * 12개월</t>
  </si>
  <si>
    <t xml:space="preserve"> ○ 관내여비(일반직): 10,000원 * 10일 * 1명 * 12개월 </t>
    <phoneticPr fontId="4" type="noConversion"/>
  </si>
  <si>
    <t xml:space="preserve"> ○ 부서업무비(5인이하) : 100,000원 * 12월</t>
  </si>
  <si>
    <t xml:space="preserve"> ○ 내구연한 교체차량(조달수수료, 취등록세 포함)</t>
    <phoneticPr fontId="4" type="noConversion"/>
  </si>
  <si>
    <t xml:space="preserve">  - 생활폐기물 차량 구입(경유5.6톤/저상): 174,344,000원 * 2대</t>
    <phoneticPr fontId="4" type="noConversion"/>
  </si>
  <si>
    <t xml:space="preserve">  - 음식물쓰레기 차량 구입(경유7톤/저상): 162,531,000원 * 1대</t>
    <phoneticPr fontId="4" type="noConversion"/>
  </si>
  <si>
    <t xml:space="preserve">  - 재활용쓰레기 차량 구입(경유1.6톤/덤프식): 100,790,000원 * 1대</t>
  </si>
  <si>
    <r>
      <t xml:space="preserve">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 xml:space="preserve"> 음식물 문전수거용 삼륜바이크: 4,000,000원*4대</t>
    </r>
    <phoneticPr fontId="4" type="noConversion"/>
  </si>
  <si>
    <t>총 인상률</t>
    <phoneticPr fontId="4" type="noConversion"/>
  </si>
  <si>
    <t>호봉인상률</t>
    <phoneticPr fontId="4" type="noConversion"/>
  </si>
  <si>
    <t>총인건비 인상률</t>
    <phoneticPr fontId="4" type="noConversion"/>
  </si>
  <si>
    <t>↓↓ 산출식 ↓↓</t>
    <phoneticPr fontId="4" type="noConversion"/>
  </si>
  <si>
    <t>2024년기준 단가</t>
    <phoneticPr fontId="4" type="noConversion"/>
  </si>
  <si>
    <t>인상률 적용 단가 ↓↓</t>
    <phoneticPr fontId="4" type="noConversion"/>
  </si>
  <si>
    <t>인상률 적용 단가 ↓↓</t>
  </si>
  <si>
    <t>48명 미해당</t>
    <phoneticPr fontId="4" type="noConversion"/>
  </si>
  <si>
    <t>다. 지출예산(세부사업) - 체육시설부</t>
  </si>
  <si>
    <t>구
분</t>
  </si>
  <si>
    <t>사업</t>
  </si>
  <si>
    <t>편성목</t>
  </si>
  <si>
    <t>정책</t>
  </si>
  <si>
    <t>단위</t>
  </si>
  <si>
    <t>세부</t>
  </si>
  <si>
    <t>그룹</t>
  </si>
  <si>
    <t>목</t>
  </si>
  <si>
    <t>세목</t>
  </si>
  <si>
    <t>총계(사업예산 + 자본예산)</t>
  </si>
  <si>
    <t>단위: 천 원</t>
    <phoneticPr fontId="3" type="noConversion"/>
  </si>
  <si>
    <t>사업예산</t>
  </si>
  <si>
    <t>체육시설 대행사업</t>
  </si>
  <si>
    <t>진남수영장 수탁 대행사업</t>
  </si>
  <si>
    <t>진남수영장 운영 및 관리</t>
  </si>
  <si>
    <t>200 물건비</t>
  </si>
  <si>
    <t>301 일반보전금</t>
    <phoneticPr fontId="4" type="noConversion"/>
  </si>
  <si>
    <t>12 기타보상금</t>
    <phoneticPr fontId="4" type="noConversion"/>
  </si>
  <si>
    <t>진남수영장 시설 유지보수</t>
  </si>
  <si>
    <t>206 재료비</t>
  </si>
  <si>
    <t>01 일반재료비</t>
  </si>
  <si>
    <t>02 약품비</t>
  </si>
  <si>
    <t>02 수선유지비</t>
  </si>
  <si>
    <t>망마국민체육센터 운영 및 관리</t>
    <phoneticPr fontId="3" type="noConversion"/>
  </si>
  <si>
    <t>망마국민체육센터 시설 유지보수</t>
    <phoneticPr fontId="3" type="noConversion"/>
  </si>
  <si>
    <t>장애인국민체육센터 운영 및 관리</t>
    <phoneticPr fontId="3" type="noConversion"/>
  </si>
  <si>
    <t>01
사무관리비</t>
    <phoneticPr fontId="4" type="noConversion"/>
  </si>
  <si>
    <t>02
공공운영비</t>
    <phoneticPr fontId="4" type="noConversion"/>
  </si>
  <si>
    <t>11
지급수수료</t>
    <phoneticPr fontId="4" type="noConversion"/>
  </si>
  <si>
    <t>13
임차료</t>
    <phoneticPr fontId="4" type="noConversion"/>
  </si>
  <si>
    <t>15
복리후생비</t>
    <phoneticPr fontId="4" type="noConversion"/>
  </si>
  <si>
    <t>21
공공요금 및 제세</t>
    <phoneticPr fontId="4" type="noConversion"/>
  </si>
  <si>
    <t>장애인국민체육센터 시설 유지보수</t>
    <phoneticPr fontId="3" type="noConversion"/>
  </si>
  <si>
    <t>206 재료비</t>
    <phoneticPr fontId="4" type="noConversion"/>
  </si>
  <si>
    <t>02 약품비</t>
    <phoneticPr fontId="4" type="noConversion"/>
  </si>
  <si>
    <t>05 
수선유지비</t>
    <phoneticPr fontId="4" type="noConversion"/>
  </si>
  <si>
    <t>웅천국민체육센터 운영 및 관리</t>
    <phoneticPr fontId="3" type="noConversion"/>
  </si>
  <si>
    <t>웅천국민체육센터 시설 유지보수</t>
    <phoneticPr fontId="3" type="noConversion"/>
  </si>
  <si>
    <t>진남수영장 자산비품 구입(공기구비품)</t>
  </si>
  <si>
    <t>400 자본지출</t>
  </si>
  <si>
    <t>i</t>
    <phoneticPr fontId="4" type="noConversion"/>
  </si>
  <si>
    <t>04 기간제근로자 보수(2025년 여수시 생활임금)</t>
    <phoneticPr fontId="4" type="noConversion"/>
  </si>
  <si>
    <t xml:space="preserve"> ○ 체육시설부 휴직자 대체인력 인건비</t>
    <phoneticPr fontId="4" type="noConversion"/>
  </si>
  <si>
    <t xml:space="preserve">   - 기본급: 11,340원 * 4.5명 * 8시간 * 5일 * 44주</t>
  </si>
  <si>
    <t xml:space="preserve">   - 휴일근무수당: 11,340원 * 4.5명 * 8시간 * 150% * 44주</t>
  </si>
  <si>
    <t xml:space="preserve">   - 야간근무수당: 11,340원 * 4.5명 * 0.5시간  * 50% * 44주</t>
  </si>
  <si>
    <t xml:space="preserve">   - 연차휴가수당: 11,340원 * 4.5명 * 8시간 * 10일</t>
  </si>
  <si>
    <t xml:space="preserve">   - 주휴수당: 11,340원 * 4.5명 * 8시간 * 44주</t>
  </si>
  <si>
    <t xml:space="preserve">   - 강습수당: 50,000원 * 1명 * 10월</t>
    <phoneticPr fontId="4" type="noConversion"/>
  </si>
  <si>
    <t xml:space="preserve">   - 자격수당: 50,000원 * 2명 * 10월</t>
    <phoneticPr fontId="4" type="noConversion"/>
  </si>
  <si>
    <r>
      <t>○</t>
    </r>
    <r>
      <rPr>
        <b/>
        <sz val="10"/>
        <color rgb="FF000000"/>
        <rFont val="굴림"/>
        <family val="3"/>
        <charset val="129"/>
      </rPr>
      <t xml:space="preserve"> </t>
    </r>
    <r>
      <rPr>
        <sz val="10"/>
        <color rgb="FF000000"/>
        <rFont val="굴림"/>
        <family val="3"/>
        <charset val="129"/>
      </rPr>
      <t>알약 임대: 26,000원 * 26대</t>
    </r>
    <phoneticPr fontId="4" type="noConversion"/>
  </si>
  <si>
    <t>○ 회원카드 구입: 400원  *  2000매</t>
    <phoneticPr fontId="4" type="noConversion"/>
  </si>
  <si>
    <t>○ 영수증 용지 구입: 45,000원 * 14박스</t>
    <phoneticPr fontId="4" type="noConversion"/>
  </si>
  <si>
    <t>○ 무인발권기 입장권 용지 구입: 45,000원 * 12박스</t>
    <phoneticPr fontId="4" type="noConversion"/>
  </si>
  <si>
    <t>○ 사무용품 구입: 200,000원 * 12월</t>
    <phoneticPr fontId="4" type="noConversion"/>
  </si>
  <si>
    <t>○ 소모성 공구류 구입: 250,000원 * 2회</t>
    <phoneticPr fontId="4" type="noConversion"/>
  </si>
  <si>
    <t>○ 종량제 봉투(50L) 구입: 1,200원 * 10묶음 * 12월</t>
    <phoneticPr fontId="4" type="noConversion"/>
  </si>
  <si>
    <t>○ 복사기(프린터) 토너 구입: 700,000원 * 2회</t>
    <phoneticPr fontId="4" type="noConversion"/>
  </si>
  <si>
    <t>○ 시설관리 청소 및 위생용품 구입: 750,000원 * 12월</t>
    <phoneticPr fontId="4" type="noConversion"/>
  </si>
  <si>
    <t>○ 전산소모품 등 PC 관리: 50,000원 * 12월</t>
    <phoneticPr fontId="4" type="noConversion"/>
  </si>
  <si>
    <t>○ 리플릿 및 현수막 제작: 66,000원 * 2매 * 8회</t>
    <phoneticPr fontId="4" type="noConversion"/>
  </si>
  <si>
    <t>○ 수영장 시설 용품 등 구입: 200,000원 * 3회</t>
    <phoneticPr fontId="4" type="noConversion"/>
  </si>
  <si>
    <t>○ 진남수영장 비상 약품 등:  250,000 * 3회</t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</si>
  <si>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 xml:space="preserve">(법정) </t>
    </r>
    <r>
      <rPr>
        <sz val="10"/>
        <color rgb="FF000000"/>
        <rFont val="굴림"/>
        <family val="3"/>
        <charset val="129"/>
      </rPr>
      <t>보일러 대기배출시설 자가측정: 2,000,000원 * 2회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</si>
  <si>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 xml:space="preserve">(법정) </t>
    </r>
    <r>
      <rPr>
        <sz val="10"/>
        <color rgb="FF000000"/>
        <rFont val="굴림"/>
        <family val="3"/>
        <charset val="129"/>
      </rPr>
      <t>승강기 유지관리: 500,000원 * 4회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</si>
  <si>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 xml:space="preserve">(법정) </t>
    </r>
    <r>
      <rPr>
        <sz val="10"/>
        <color rgb="FF000000"/>
        <rFont val="굴림"/>
        <family val="3"/>
        <charset val="129"/>
      </rPr>
      <t>방역소독: 880,000원 * 5회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</si>
  <si>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 xml:space="preserve">(법정) </t>
    </r>
    <r>
      <rPr>
        <sz val="10"/>
        <color rgb="FF000000"/>
        <rFont val="굴림"/>
        <family val="3"/>
        <charset val="129"/>
      </rPr>
      <t>도시가스 정기점검: 500,000원 * 1회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</si>
  <si>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 xml:space="preserve">(법정) </t>
    </r>
    <r>
      <rPr>
        <sz val="10"/>
        <color rgb="FF000000"/>
        <rFont val="굴림"/>
        <family val="3"/>
        <charset val="129"/>
      </rPr>
      <t>수영장 수질검사: 50,000원 * 4회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</si>
  <si>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보일러 정기검사: 1,200,000원 * 1회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</si>
  <si>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시설물 정기 안전점검: 5,250,000원 * 2회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</si>
  <si>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 xml:space="preserve">(법정) </t>
    </r>
    <r>
      <rPr>
        <sz val="10"/>
        <color theme="1"/>
        <rFont val="굴림"/>
        <family val="3"/>
        <charset val="129"/>
      </rPr>
      <t>전기연차점검: 4,500,000원 * 1회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</si>
  <si>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 xml:space="preserve">(법정) </t>
    </r>
    <r>
      <rPr>
        <sz val="10"/>
        <color theme="1"/>
        <rFont val="굴림"/>
        <family val="3"/>
        <charset val="129"/>
      </rPr>
      <t>소방(종합, 작동) 기능점검: 1,000,000원 * 2회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</si>
  <si>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 xml:space="preserve">(법정) </t>
    </r>
    <r>
      <rPr>
        <sz val="10"/>
        <color theme="1"/>
        <rFont val="굴림"/>
        <family val="3"/>
        <charset val="129"/>
      </rPr>
      <t>승강기 정기검사 수수료: 140,000원 * 1회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</si>
  <si>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theme="1"/>
        <rFont val="굴림"/>
        <family val="3"/>
        <charset val="129"/>
      </rPr>
      <t xml:space="preserve"> 저수조 탱크 청소,소독: 1,500,000원 * 2회</t>
    </r>
    <phoneticPr fontId="4" type="noConversion"/>
  </si>
  <si>
    <t xml:space="preserve">  ○ 시설물 유지관리 시스템(FMS) 관리: 380,000원 * 12월</t>
    <phoneticPr fontId="4" type="noConversion"/>
  </si>
  <si>
    <t xml:space="preserve">  ○ 신용카드 결제대행 수수료: 1,900,000원 * 12월</t>
    <phoneticPr fontId="4" type="noConversion"/>
  </si>
  <si>
    <t xml:space="preserve">  ○ 보일러 세관: 7,900,000원 * 1회</t>
    <phoneticPr fontId="4" type="noConversion"/>
  </si>
  <si>
    <t xml:space="preserve">  ○ 보일러 유지관리: 500,000원 * 4회</t>
    <phoneticPr fontId="4" type="noConversion"/>
  </si>
  <si>
    <t xml:space="preserve">  ○ 통합회원관리 시스템 유지관리: 388,500원 * 2개소 * 12월</t>
    <phoneticPr fontId="4" type="noConversion"/>
  </si>
  <si>
    <t xml:space="preserve">  ○ 서버 유지관리: 900,000원 * 12월</t>
    <phoneticPr fontId="4" type="noConversion"/>
  </si>
  <si>
    <t xml:space="preserve">  ○ 밸런싱 탱크 및 집수정 청소: 1,000,000원 * 2회</t>
    <phoneticPr fontId="4" type="noConversion"/>
  </si>
  <si>
    <t xml:space="preserve">  ○ 수영장 풀사이드, 샤워장 청소: 1,600,000원 * 13회</t>
    <phoneticPr fontId="4" type="noConversion"/>
  </si>
  <si>
    <t xml:space="preserve">  ○ 생존수영 재인증 경비: 300,000원 * 1회</t>
    <phoneticPr fontId="4" type="noConversion"/>
  </si>
  <si>
    <t xml:space="preserve">  ○ 수영장 내부 청소: 2,500,000원 * 1식</t>
    <phoneticPr fontId="4" type="noConversion"/>
  </si>
  <si>
    <t xml:space="preserve">  ○ 무인경비 시스템 관리, 운영: 285,000원 * 12월</t>
    <phoneticPr fontId="4" type="noConversion"/>
  </si>
  <si>
    <t xml:space="preserve">  ○ 보안용 CCTV 장비 관리 운영: 50,000원 * 12월</t>
    <phoneticPr fontId="4" type="noConversion"/>
  </si>
  <si>
    <t xml:space="preserve">  ○ 진남수영장, 장애인센터 주변 환경정비: 3,000,000원 * 4회</t>
    <phoneticPr fontId="4" type="noConversion"/>
  </si>
  <si>
    <t xml:space="preserve">  ○ 수영장 운영관련 물품 임차: 430,000원 * 12월</t>
    <phoneticPr fontId="4" type="noConversion"/>
  </si>
  <si>
    <t xml:space="preserve">  ○ 복합기 임차: 200,000원 * 1대 * 12월</t>
    <phoneticPr fontId="4" type="noConversion"/>
  </si>
  <si>
    <t xml:space="preserve">  ○ 비상 안심벨 임차: 224,000원 * 12월</t>
    <phoneticPr fontId="4" type="noConversion"/>
  </si>
  <si>
    <t xml:space="preserve">  ○ 피복비(체육시설부): 120,000원 * 1회 * 76명</t>
    <phoneticPr fontId="4" type="noConversion"/>
  </si>
  <si>
    <t xml:space="preserve">  ○ 강습용 개인장비 구입(체육시설부): 300,000원 * 2회 * 22명</t>
    <phoneticPr fontId="4" type="noConversion"/>
  </si>
  <si>
    <t xml:space="preserve">  ○ 급식비: 9,000원 * 11명 * 8일 * 12월</t>
    <phoneticPr fontId="4" type="noConversion"/>
  </si>
  <si>
    <t xml:space="preserve">  ○ 수영 강사 간식: 4,000원 * 8명 * 5일 * 52주</t>
    <phoneticPr fontId="4" type="noConversion"/>
  </si>
  <si>
    <t xml:space="preserve">  ○ 안전용품: 150,000원 * 3회</t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</si>
  <si>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 xml:space="preserve">(법정) </t>
    </r>
    <r>
      <rPr>
        <sz val="10"/>
        <color rgb="FF000000"/>
        <rFont val="굴림"/>
        <family val="3"/>
        <charset val="129"/>
      </rPr>
      <t>주민세: 250원 * 6,496㎡ * 1회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</si>
  <si>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theme="1"/>
        <rFont val="굴림"/>
        <family val="3"/>
        <charset val="129"/>
      </rPr>
      <t xml:space="preserve"> 도시가스 사고배상 책임보험: 20,000원 * 1회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</si>
  <si>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theme="1"/>
        <rFont val="굴림"/>
        <family val="3"/>
        <charset val="129"/>
      </rPr>
      <t xml:space="preserve"> 승강기 사고배상 책임보험: 35,000원 * 1회</t>
    </r>
    <phoneticPr fontId="4" type="noConversion"/>
  </si>
  <si>
    <t xml:space="preserve">  ○ 상하수도 요금: 19,000,000원 * 12월</t>
    <phoneticPr fontId="4" type="noConversion"/>
  </si>
  <si>
    <t xml:space="preserve">  ○ 도시가스 요금: 22,000,000원 * 12월</t>
    <phoneticPr fontId="4" type="noConversion"/>
  </si>
  <si>
    <t xml:space="preserve">  ○ 전기 요금: 9,000,000원 * 12월</t>
    <phoneticPr fontId="4" type="noConversion"/>
  </si>
  <si>
    <t xml:space="preserve">  ○ 통신 요금(전화기, 인터넷, 비상안심벨): 500,000원 * 12월</t>
    <phoneticPr fontId="4" type="noConversion"/>
  </si>
  <si>
    <t xml:space="preserve">  ○ 교통유발 부담금: 3,000,000원 * 1회</t>
    <phoneticPr fontId="4" type="noConversion"/>
  </si>
  <si>
    <t xml:space="preserve">  ○ 문자메시지 사용 요금: 500,000원 * 12월</t>
    <phoneticPr fontId="4" type="noConversion"/>
  </si>
  <si>
    <t>01 국내여비(체육시설부)</t>
  </si>
  <si>
    <t xml:space="preserve">  ○ 관내여비(체육시설부): 20,000원 * 11명 * 10일 * 12월</t>
    <phoneticPr fontId="4" type="noConversion"/>
  </si>
  <si>
    <t xml:space="preserve">  ○ 관외여비(체육시설부): 110,000원 * 5명 * 3일 * 4회</t>
    <phoneticPr fontId="4" type="noConversion"/>
  </si>
  <si>
    <t xml:space="preserve">  ○ 문화비 소득공제 결제시스템 개발: 30,000,000원 * 1식</t>
    <phoneticPr fontId="4" type="noConversion"/>
  </si>
  <si>
    <t>02 부서운영업무비</t>
  </si>
  <si>
    <t xml:space="preserve">  ○ 부서운영비(체육시설부)</t>
    <phoneticPr fontId="4" type="noConversion"/>
  </si>
  <si>
    <t xml:space="preserve">    - 진남수영장(29명): 400,000원 * 12월</t>
    <phoneticPr fontId="4" type="noConversion"/>
  </si>
  <si>
    <t xml:space="preserve">    - 망마국민체육센터(26명): 400,000원 * 12월</t>
    <phoneticPr fontId="4" type="noConversion"/>
  </si>
  <si>
    <t xml:space="preserve">    - 장애인국민체육센터(7명): 175,000원 * 12월</t>
    <phoneticPr fontId="4" type="noConversion"/>
  </si>
  <si>
    <t xml:space="preserve">    - 웅천국민체육센터(21명): 350,000원 * 12월</t>
    <phoneticPr fontId="4" type="noConversion"/>
  </si>
  <si>
    <t xml:space="preserve">  ○ 수영대회 맞춤 특강반 강사료: 370,000원 * 8회 * 2강좌</t>
    <phoneticPr fontId="4" type="noConversion"/>
  </si>
  <si>
    <t>○ 방역소독약품 구입: 500,000원 * 2회</t>
    <phoneticPr fontId="4" type="noConversion"/>
  </si>
  <si>
    <t>○ 수영장 관리용 약품: 779,500원 * 12월</t>
    <phoneticPr fontId="4" type="noConversion"/>
  </si>
  <si>
    <t xml:space="preserve">  ○ 수영장, 헬스장, 기계실 등 시설물 설비 유지보수: 45,000,000원 * 1식</t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</si>
  <si>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여과기 여과재 교체: 45,000,000원 * 1식</t>
    </r>
    <phoneticPr fontId="4" type="noConversion"/>
  </si>
  <si>
    <t>04 기간제근로자 보수(2024년 여수시 생활임금)</t>
    <phoneticPr fontId="4" type="noConversion"/>
  </si>
  <si>
    <t xml:space="preserve"> ○ 환경관리 기간제 근로자 인건비</t>
    <phoneticPr fontId="4" type="noConversion"/>
  </si>
  <si>
    <t xml:space="preserve">   - 기본급: 11,340원 * 3명 * 8시간 * 5일 * 52주</t>
    <phoneticPr fontId="4" type="noConversion"/>
  </si>
  <si>
    <t xml:space="preserve">   - 휴일근무수당: 11,340원 * 3명 * 8시간 * 150% * 52주</t>
  </si>
  <si>
    <t xml:space="preserve">   - 야간근무수당: 11,340원 * 3명 * 0.5시간 * 5일 * 50% * 52주</t>
  </si>
  <si>
    <t xml:space="preserve">   - 연차휴가수당: 11,340원 * 3명 * 8시간 * 12일</t>
  </si>
  <si>
    <t xml:space="preserve">   - 주휴수당: 11,340원 * 3명 * 8시간 * 52주</t>
  </si>
  <si>
    <t xml:space="preserve"> ○ 아쿠아로빅 강사 인건비</t>
  </si>
  <si>
    <t xml:space="preserve">   - 아쿠아로빅 강사: 1,500,000원 * 1명 * 12월</t>
    <phoneticPr fontId="4" type="noConversion"/>
  </si>
  <si>
    <t>01 일반수용비</t>
    <phoneticPr fontId="4" type="noConversion"/>
  </si>
  <si>
    <t xml:space="preserve">  ○ 알약 임대: 26,000원 * 16대</t>
    <phoneticPr fontId="4" type="noConversion"/>
  </si>
  <si>
    <t xml:space="preserve">  ○ 영수증 용지 구입: 45,000원 * 14박스</t>
    <phoneticPr fontId="4" type="noConversion"/>
  </si>
  <si>
    <t xml:space="preserve">  ○ 회원카드 구입: 400원 * 2,000매</t>
    <phoneticPr fontId="4" type="noConversion"/>
  </si>
  <si>
    <t xml:space="preserve">  ○ 무인발매기 용지 구입: 45,000원 * 12박스</t>
    <phoneticPr fontId="4" type="noConversion"/>
  </si>
  <si>
    <t xml:space="preserve">  ○ 종량제봉투(50L) 구입: 1,200원 * 10묶음 * 12월</t>
    <phoneticPr fontId="4" type="noConversion"/>
  </si>
  <si>
    <t xml:space="preserve">  ○ 복사기(프린터) 토너 구입: 1,000,000원 * 3회</t>
    <phoneticPr fontId="4" type="noConversion"/>
  </si>
  <si>
    <t xml:space="preserve">  ○ 리플릿 및 현수막 제작: 66,000원 * 4매 * 6회</t>
    <phoneticPr fontId="4" type="noConversion"/>
  </si>
  <si>
    <t xml:space="preserve">  ○ 시설관리 청소 및 위생용품: 500,000원 * 12월</t>
    <phoneticPr fontId="4" type="noConversion"/>
  </si>
  <si>
    <t xml:space="preserve">  ○ 소모성 공구류 구입: 250,000원 * 2회</t>
    <phoneticPr fontId="4" type="noConversion"/>
  </si>
  <si>
    <t xml:space="preserve">  ○ 전산소모품 등 PC 관리: 75,000원 * 12월</t>
    <phoneticPr fontId="4" type="noConversion"/>
  </si>
  <si>
    <t xml:space="preserve">  ○ 수영장 시설 용품 등 구입: 400,000원 * 5회</t>
    <phoneticPr fontId="4" type="noConversion"/>
  </si>
  <si>
    <t xml:space="preserve">  ○ 다목적체육관 시설 용품 등 구입: 250,000원 * 5회</t>
    <phoneticPr fontId="4" type="noConversion"/>
  </si>
  <si>
    <t xml:space="preserve">  ○ 사무용품 구입: 200,000원 * 12월</t>
    <phoneticPr fontId="4" type="noConversion"/>
  </si>
  <si>
    <t xml:space="preserve">  ○ 망마국민체육센터 비상 약품 등: 200,000원 * 2회</t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</si>
  <si>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승강기 정기검사 수수료: 130,000원 * 1회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</si>
  <si>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도시가스 정기점검: 210,000원 * 1회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</si>
  <si>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수영장 수질검사: 50,000원 * 4회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</si>
  <si>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저수조 탱크 청소, 소독: 1,530,000원 * 2회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</si>
  <si>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소방(종합,작동) 기능점검: 1,000,000원 * 2회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</si>
  <si>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방역 소독: 300,000원 * 5회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</si>
  <si>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보일러 대기배출시설 자가측정: 1,200,000원 * 1회</t>
    </r>
    <phoneticPr fontId="4" type="noConversion"/>
  </si>
  <si>
    <t xml:space="preserve">  ○ 밸런싱 탱크, 집수정 청소: 500,000원 * 1회</t>
    <phoneticPr fontId="4" type="noConversion"/>
  </si>
  <si>
    <t xml:space="preserve">  ○ 승강기 유지관리: 500,000원 * 4회</t>
    <phoneticPr fontId="4" type="noConversion"/>
  </si>
  <si>
    <t xml:space="preserve">  ○ 수영장 내부 청소: 1,500,000원 * 1식</t>
    <phoneticPr fontId="4" type="noConversion"/>
  </si>
  <si>
    <t xml:space="preserve">  ○ 수영장 풀사이드, 샤워장 청소: 1,250,000원 * 13회</t>
    <phoneticPr fontId="4" type="noConversion"/>
  </si>
  <si>
    <t xml:space="preserve">  ○ 전기안전관리 대행: 825,000원 * 4회</t>
    <phoneticPr fontId="4" type="noConversion"/>
  </si>
  <si>
    <t xml:space="preserve">  ○ 무인경비 시스템 관리, 운영: 150,000원 * 12월</t>
    <phoneticPr fontId="4" type="noConversion"/>
  </si>
  <si>
    <t xml:space="preserve">  ○ 건축물 정기 안전점검: 4,000,000원 * 1회</t>
    <phoneticPr fontId="4" type="noConversion"/>
  </si>
  <si>
    <t xml:space="preserve">  ○ 보안용 CCTV 관리 운영: 280,000원 * 12개월</t>
    <phoneticPr fontId="4" type="noConversion"/>
  </si>
  <si>
    <t xml:space="preserve">  ○ 센터 운영관련 물품 임차: 420,000원 * 12월</t>
    <phoneticPr fontId="4" type="noConversion"/>
  </si>
  <si>
    <t xml:space="preserve">  ○ 비상안심벨 임차: 224,000원 * 12월</t>
    <phoneticPr fontId="4" type="noConversion"/>
  </si>
  <si>
    <r>
      <rPr>
        <sz val="10"/>
        <color rgb="FF000000"/>
        <rFont val="굴림"/>
        <family val="3"/>
        <charset val="129"/>
      </rPr>
      <t xml:space="preserve">  ○</t>
    </r>
    <r>
      <rPr>
        <b/>
        <sz val="10"/>
        <color rgb="FF000000"/>
        <rFont val="굴림"/>
        <family val="3"/>
        <charset val="129"/>
      </rPr>
      <t xml:space="preserve"> </t>
    </r>
    <r>
      <rPr>
        <sz val="10"/>
        <color rgb="FF000000"/>
        <rFont val="굴림"/>
        <family val="3"/>
        <charset val="129"/>
      </rPr>
      <t>안전용품: 200,000원 * 3명</t>
    </r>
    <phoneticPr fontId="4" type="noConversion"/>
  </si>
  <si>
    <t xml:space="preserve">  ○ 수영강사 간식: 4,000원 * 5일 * 52주 * 6명</t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</si>
  <si>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도시가스 사고배상 책임보험: 20,000원 * 1회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</si>
  <si>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승강기 사고배상 책임보험: 35,000원 * 1회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</si>
  <si>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주민세: 260원 * 3,299㎡ * 1회</t>
    </r>
    <phoneticPr fontId="4" type="noConversion"/>
  </si>
  <si>
    <t xml:space="preserve">  ○ 도시가스 요금: 16,500,000원 * 12월</t>
    <phoneticPr fontId="4" type="noConversion"/>
  </si>
  <si>
    <t xml:space="preserve">  ○ 상하수도 요금: 15,500,000원 * 12월</t>
    <phoneticPr fontId="4" type="noConversion"/>
  </si>
  <si>
    <t xml:space="preserve">  ○ 전기요금: 7,000,000원 * 12월</t>
    <phoneticPr fontId="4" type="noConversion"/>
  </si>
  <si>
    <t xml:space="preserve">  ○ 통신요금(전화기, 인터넷, 비상안심벨): 350,000원 * 12월</t>
    <phoneticPr fontId="4" type="noConversion"/>
  </si>
  <si>
    <t xml:space="preserve">  ○ 문자메시지 사용요금: 170,000원 * 12월</t>
    <phoneticPr fontId="4" type="noConversion"/>
  </si>
  <si>
    <t xml:space="preserve">  ○ 방역소독약품: 500,000원 * 1회</t>
    <phoneticPr fontId="4" type="noConversion"/>
  </si>
  <si>
    <t xml:space="preserve">  ○ 수영장 관리용 약품: 430,000원 * 12월</t>
    <phoneticPr fontId="4" type="noConversion"/>
  </si>
  <si>
    <t xml:space="preserve">  ○ 수영장, 체육관, 기계실 등 시설물, 설비 유지보수: 64,000,000원 * 1식</t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</si>
  <si>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(주민참여)</t>
    </r>
    <r>
      <rPr>
        <sz val="10"/>
        <color rgb="FF000000"/>
        <rFont val="굴림"/>
        <family val="3"/>
        <charset val="129"/>
      </rPr>
      <t xml:space="preserve"> 보건실 이전 공사: 5,500,000원 * 1식</t>
    </r>
    <phoneticPr fontId="4" type="noConversion"/>
  </si>
  <si>
    <t xml:space="preserve">  ○ 복사기(프린터) 토너 구입: 1,000,000원 * 2개소 * 1회</t>
    <phoneticPr fontId="4" type="noConversion"/>
  </si>
  <si>
    <t xml:space="preserve">  ○ 전산 소모품 등 PC 관리: 50,000원 * 10대 * 1회</t>
    <phoneticPr fontId="4" type="noConversion"/>
  </si>
  <si>
    <t xml:space="preserve">  ○ 시설관리 청소 및 위생용품 구입: 550,000원 * 12월</t>
    <phoneticPr fontId="4" type="noConversion"/>
  </si>
  <si>
    <t xml:space="preserve">  ○ 목욕탕 시설 용품 등 구입: 10,000원 * 50개</t>
    <phoneticPr fontId="4" type="noConversion"/>
  </si>
  <si>
    <t xml:space="preserve">  ○ 종량제 봉투(20L, 50L) 구입: 20,000원 * 4묶음 * 12월</t>
    <phoneticPr fontId="4" type="noConversion"/>
  </si>
  <si>
    <t xml:space="preserve">  ○ 리플릿 및 현수막 제작: 66,000원 * 3매 * 5회</t>
    <phoneticPr fontId="4" type="noConversion"/>
  </si>
  <si>
    <t xml:space="preserve">  ○ 체육관 용품 구입: 700,000원 * 4회</t>
    <phoneticPr fontId="4" type="noConversion"/>
  </si>
  <si>
    <t xml:space="preserve">  ○ 소모성 공구류 구입: 400,000원 * 1회</t>
    <phoneticPr fontId="4" type="noConversion"/>
  </si>
  <si>
    <t xml:space="preserve">  ○ 알약 임대: 26,000원 * 12식</t>
    <phoneticPr fontId="4" type="noConversion"/>
  </si>
  <si>
    <t xml:space="preserve">  ○ 장애인국민체육센터 비상 약품 등: 250,000원 * 2회</t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</si>
  <si>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전기 연차 점검: 3,000,000원 * 1회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</si>
  <si>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소방(종합, 작동) 기능점검: 1,000,000원 * 2회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</si>
  <si>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저수조 탱크 청소: 700,000원 * 2회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</si>
  <si>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방역소독: 400,000원 * 12회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</si>
  <si>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승강기유지관리: 200,000원 * 12회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</si>
  <si>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도시가스 정기 점검: 130,000원 * 1회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</si>
  <si>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목욕탕 수질검사:  200,000원 * 1회</t>
    </r>
    <phoneticPr fontId="4" type="noConversion"/>
  </si>
  <si>
    <t xml:space="preserve">  ○ 무인경비 시스템, CCTV 관리, 운영: 190,000원 * 12월</t>
    <phoneticPr fontId="4" type="noConversion"/>
  </si>
  <si>
    <t xml:space="preserve">  ○ 보일러 유지관리: 330,000원 * 4회</t>
    <phoneticPr fontId="4" type="noConversion"/>
  </si>
  <si>
    <t xml:space="preserve">  ○ 신용카드 결제대행 수수료: 30,000원 * 12월</t>
    <phoneticPr fontId="4" type="noConversion"/>
  </si>
  <si>
    <t xml:space="preserve">  ○ 개인정보보호 프로그램 서버 유지관리: 800,000원 * 12월</t>
    <phoneticPr fontId="4" type="noConversion"/>
  </si>
  <si>
    <t xml:space="preserve">  ○ 회원관리프로그램 유지관리: 550,000원 * 12월</t>
    <phoneticPr fontId="4" type="noConversion"/>
  </si>
  <si>
    <t xml:space="preserve">  ○ 센터 운영 관련 물품(정수기 등) 임차: 360,000원 * 12월</t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</si>
  <si>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(삭제)</t>
    </r>
    <r>
      <rPr>
        <sz val="10"/>
        <color theme="1"/>
        <rFont val="굴림"/>
        <family val="3"/>
        <charset val="129"/>
      </rPr>
      <t xml:space="preserve"> 의약품 구입비 : 250,000원*2회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</si>
  <si>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주민세: 250원 * 4,249㎡ * 1회</t>
    </r>
    <phoneticPr fontId="4" type="noConversion"/>
  </si>
  <si>
    <t xml:space="preserve">  ○ 통신요금: 210,000원 * 12월</t>
    <phoneticPr fontId="4" type="noConversion"/>
  </si>
  <si>
    <t xml:space="preserve">  ○ 전기요금: 2,800,000원 * 12월</t>
    <phoneticPr fontId="4" type="noConversion"/>
  </si>
  <si>
    <t xml:space="preserve">  ○ 도시가스요금: 5,300,000원 * 12월</t>
    <phoneticPr fontId="4" type="noConversion"/>
  </si>
  <si>
    <t xml:space="preserve">  ○ 상하수도요금: 2,600,000원 * 12월</t>
    <phoneticPr fontId="4" type="noConversion"/>
  </si>
  <si>
    <t xml:space="preserve">  ○ 문자메시지 사용 요금: 40,000원 * 12월</t>
    <phoneticPr fontId="4" type="noConversion"/>
  </si>
  <si>
    <t xml:space="preserve">  ○ 목욕탕 관리용 약품: 180,000원 * 12월</t>
    <phoneticPr fontId="4" type="noConversion"/>
  </si>
  <si>
    <t xml:space="preserve">  ○ 기계실, 전기실, 목욕탕, 다목적체육관 등 시설 유지 보수: 33,000,000원 * 1식</t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</si>
  <si>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내부 공기순환장치 전열교환기 교체: 2,500,000원 * 1식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</si>
  <si>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전기실 정류기반 배터리 교체: 350,000원 * 9대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</si>
  <si>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도시가스(GHP) 계량기 교체: 2,100,000원 * 1식</t>
    </r>
    <phoneticPr fontId="4" type="noConversion"/>
  </si>
  <si>
    <t xml:space="preserve">  ○ 수영장 수영강사 인건비</t>
    <phoneticPr fontId="4" type="noConversion"/>
  </si>
  <si>
    <t xml:space="preserve">    - 기본급: 11,340원 * 8시간 * 4명 * 22일 * 7월</t>
    <phoneticPr fontId="4" type="noConversion"/>
  </si>
  <si>
    <t xml:space="preserve">    - 강습수당: 12,000원 * 4회 * 4명 * 22일 * 7월</t>
    <phoneticPr fontId="4" type="noConversion"/>
  </si>
  <si>
    <t xml:space="preserve">    - 초과근무수당: 23,000원 * 8시간 * 150% * 4명 * 7월</t>
    <phoneticPr fontId="4" type="noConversion"/>
  </si>
  <si>
    <t xml:space="preserve">    - 야간근무수당: 11,340원 * 0.5시간 * 50% * 2명 * 22회 * 7월</t>
    <phoneticPr fontId="4" type="noConversion"/>
  </si>
  <si>
    <t xml:space="preserve">    - 연차휴가수당: 138,720원 * 4명 * 10일</t>
  </si>
  <si>
    <t xml:space="preserve">    - 주휴수당: 138,720원 * 4명 * 30주</t>
    <phoneticPr fontId="4" type="noConversion"/>
  </si>
  <si>
    <t xml:space="preserve">    - 자격수당: 50,000원 * 4명 * 12월</t>
    <phoneticPr fontId="4" type="noConversion"/>
  </si>
  <si>
    <t xml:space="preserve">    - 평일 안전근무수당: 7,000원 * 4명 * 2회 * 5일 * 30주</t>
    <phoneticPr fontId="4" type="noConversion"/>
  </si>
  <si>
    <t xml:space="preserve">    - 토요일 안전근무수당: 18,000원 * 2명 * 4회 * 30주</t>
    <phoneticPr fontId="4" type="noConversion"/>
  </si>
  <si>
    <t xml:space="preserve">   ○ 수상안전요원 근로자 인건비</t>
    <phoneticPr fontId="4" type="noConversion"/>
  </si>
  <si>
    <t xml:space="preserve">    - 근무수당: 7,000원 * 6회 * 4명 * 22일 * 7월</t>
    <phoneticPr fontId="4" type="noConversion"/>
  </si>
  <si>
    <t xml:space="preserve">    - 초과근무수당: 18,000원 * 8시간 * 150% * 4명 * 7월</t>
    <phoneticPr fontId="4" type="noConversion"/>
  </si>
  <si>
    <t xml:space="preserve">    - 연차휴가수당: 132,720원 * 4명 * 10일</t>
  </si>
  <si>
    <t xml:space="preserve">    - 주휴수당: 132,720원 * 4명 * 30주</t>
    <phoneticPr fontId="4" type="noConversion"/>
  </si>
  <si>
    <t xml:space="preserve">    - 토요일 안전근무수당: 18,000원  * 2명 * 4회 * 30주</t>
    <phoneticPr fontId="4" type="noConversion"/>
  </si>
  <si>
    <t xml:space="preserve">  ○ 환경관리 근로자 인건비</t>
    <phoneticPr fontId="4" type="noConversion"/>
  </si>
  <si>
    <t xml:space="preserve">    - 기본급: 11,340원 * 4명 * 8시간  * 5일 * 30주</t>
    <phoneticPr fontId="4" type="noConversion"/>
  </si>
  <si>
    <t xml:space="preserve">    - 휴일근무수당: 11,340원 * 4명 * 16시간 * 150%  * 30주</t>
    <phoneticPr fontId="4" type="noConversion"/>
  </si>
  <si>
    <t xml:space="preserve">    - 야간근무수당: 11,340원 * 5일 * 0.5시간 * 50% * 4명  * 30주</t>
    <phoneticPr fontId="4" type="noConversion"/>
  </si>
  <si>
    <t xml:space="preserve">    - 연차휴가수당: 11,340원 * 4명 * 8시간  * 10일</t>
  </si>
  <si>
    <t xml:space="preserve">    - 주휴수당: 11,340원 * 4명 * 8시간  * 30주</t>
    <phoneticPr fontId="4" type="noConversion"/>
  </si>
  <si>
    <t xml:space="preserve">  ○ 휴일 전담 단시간근로자 인건비: 11,340원 * 1명 * 8시간  * 2일 * 30주</t>
    <phoneticPr fontId="4" type="noConversion"/>
  </si>
  <si>
    <t xml:space="preserve">  ○ 특화 프로그램 강사 인건비</t>
    <phoneticPr fontId="4" type="noConversion"/>
  </si>
  <si>
    <t xml:space="preserve">    - 아쿠아로빅 강사: 1,050,000원 * 1명 * 12월</t>
    <phoneticPr fontId="4" type="noConversion"/>
  </si>
  <si>
    <t xml:space="preserve">    - 특화 강사: 1,000,000원 * 1명 * 12월</t>
    <phoneticPr fontId="4" type="noConversion"/>
  </si>
  <si>
    <t xml:space="preserve">  ○ 알약임대: 26,000원 * 11대</t>
    <phoneticPr fontId="4" type="noConversion"/>
  </si>
  <si>
    <t xml:space="preserve">  ○ 영수증 용지 구입: 80,000원 * 6박스 * 1회</t>
    <phoneticPr fontId="4" type="noConversion"/>
  </si>
  <si>
    <t xml:space="preserve">  ○ 무인발권기 용지 구입: 250,000원 * 4박스</t>
    <phoneticPr fontId="4" type="noConversion"/>
  </si>
  <si>
    <t xml:space="preserve">  ○ 종량제 봉투(50L) 구입: 1,200원 * 9묶음 * 12월</t>
    <phoneticPr fontId="4" type="noConversion"/>
  </si>
  <si>
    <t xml:space="preserve">  ○ 시설관리 청소 및 위생용품 구입: 600,000원 * 7월</t>
    <phoneticPr fontId="4" type="noConversion"/>
  </si>
  <si>
    <t xml:space="preserve">  ○ 시설관리 청소 소모품 구입: 100,000원 * 2회 * 6월</t>
    <phoneticPr fontId="4" type="noConversion"/>
  </si>
  <si>
    <t xml:space="preserve">  ○ 수영장 및 다목적체육관 시설 용품 등 구입: 250,000원 * 2회</t>
    <phoneticPr fontId="4" type="noConversion"/>
  </si>
  <si>
    <t xml:space="preserve">  ○ 소모성 공구류 구입: 200,000원 * 3회</t>
    <phoneticPr fontId="4" type="noConversion"/>
  </si>
  <si>
    <t xml:space="preserve">  ○ 사무용품 구입: 200,000원 * 7월</t>
    <phoneticPr fontId="4" type="noConversion"/>
  </si>
  <si>
    <t xml:space="preserve">  ○ 웅천국민체육센터 비상 약품 등: 200,000원 * 3회</t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</si>
  <si>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저수조 청소: 930,000원 * 2회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</si>
  <si>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소방(종합, 작동) 기능점검: 900,000원 * 2회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</si>
  <si>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방역소독: 450,000원 * 5회</t>
    </r>
    <phoneticPr fontId="4" type="noConversion"/>
  </si>
  <si>
    <t xml:space="preserve">  ○ 개인정보 서버 임대 및 운영: 2,500,000원 * 12월</t>
    <phoneticPr fontId="4" type="noConversion"/>
  </si>
  <si>
    <t xml:space="preserve">  ○ 신용카드 결제대행 수수료: 1,800,000원 * 12월</t>
    <phoneticPr fontId="4" type="noConversion"/>
  </si>
  <si>
    <t xml:space="preserve">  ○ 승강기 유지관리: 160,000원 * 12월</t>
    <phoneticPr fontId="4" type="noConversion"/>
  </si>
  <si>
    <t xml:space="preserve">  ○ 수영장 내부 청소: 2,000,000원 * 1식</t>
    <phoneticPr fontId="4" type="noConversion"/>
  </si>
  <si>
    <t xml:space="preserve">  ○ 수영장 풀사이드, 샤워장 청소: 900,000원 * 13회</t>
    <phoneticPr fontId="4" type="noConversion"/>
  </si>
  <si>
    <t xml:space="preserve">  ○ 무인경비 시스템, CCTV 관리, 운영: 270,000원 * 12월</t>
    <phoneticPr fontId="4" type="noConversion"/>
  </si>
  <si>
    <t xml:space="preserve">  ○ 전기안전관리자 대행: 250,000원 * 12월</t>
    <phoneticPr fontId="4" type="noConversion"/>
  </si>
  <si>
    <t xml:space="preserve">  ○ 체육센터 주변 환경정비: 1,000,000원 * 4회</t>
    <phoneticPr fontId="4" type="noConversion"/>
  </si>
  <si>
    <t xml:space="preserve">  ○ 다목적체육관 마룻바닥 왁싱 코팅: 3,500,000원 * 2회</t>
    <phoneticPr fontId="4" type="noConversion"/>
  </si>
  <si>
    <t xml:space="preserve">  ○ 수영장 운영 관련 물품 임차: 406,000원 * 12월</t>
    <phoneticPr fontId="4" type="noConversion"/>
  </si>
  <si>
    <t xml:space="preserve">  ○ 비상안심벨 임차: 230,000원 * 12월</t>
    <phoneticPr fontId="4" type="noConversion"/>
  </si>
  <si>
    <r>
      <rPr>
        <sz val="10"/>
        <color rgb="FF000000"/>
        <rFont val="굴림"/>
        <family val="3"/>
        <charset val="129"/>
      </rPr>
      <t xml:space="preserve">  ○</t>
    </r>
    <r>
      <rPr>
        <b/>
        <sz val="10"/>
        <color rgb="FF000000"/>
        <rFont val="굴림"/>
        <family val="3"/>
        <charset val="129"/>
      </rPr>
      <t xml:space="preserve"> </t>
    </r>
    <r>
      <rPr>
        <sz val="10"/>
        <color rgb="FF000000"/>
        <rFont val="굴림"/>
        <family val="3"/>
        <charset val="129"/>
      </rPr>
      <t>안전용품: 150,000원 * 2명</t>
    </r>
    <phoneticPr fontId="4" type="noConversion"/>
  </si>
  <si>
    <t xml:space="preserve">  ○ 수영 강사 간식: 4,000원 * 4명 * 5일 * 30주</t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</si>
  <si>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주민세: 260원 * 2,496㎡ * 1회</t>
    </r>
    <phoneticPr fontId="4" type="noConversion"/>
  </si>
  <si>
    <t xml:space="preserve">  ○ 비상안심벨 통신비: 55,000원 * 7월</t>
    <phoneticPr fontId="4" type="noConversion"/>
  </si>
  <si>
    <t xml:space="preserve">  ○ 도시가스 요금: 14,000,000원 * 7월</t>
    <phoneticPr fontId="4" type="noConversion"/>
  </si>
  <si>
    <t xml:space="preserve">  ○ 상하수도 요금: 13,000,000원 * 7월</t>
    <phoneticPr fontId="4" type="noConversion"/>
  </si>
  <si>
    <t xml:space="preserve">  ○ 전기요금: 6,500,000원 * 7월</t>
    <phoneticPr fontId="4" type="noConversion"/>
  </si>
  <si>
    <t xml:space="preserve">  ○ 통신요금: 330,000원 * 11월</t>
    <phoneticPr fontId="4" type="noConversion"/>
  </si>
  <si>
    <t xml:space="preserve">  ○ 문자메시지 사용요금: 120,000원 * 12월</t>
    <phoneticPr fontId="4" type="noConversion"/>
  </si>
  <si>
    <t>○ 방역 소독약품: 500,000원 * 1회</t>
    <phoneticPr fontId="4" type="noConversion"/>
  </si>
  <si>
    <t xml:space="preserve">  ○ 수영장 관리용 약품: 330,000원 * 10월</t>
    <phoneticPr fontId="4" type="noConversion"/>
  </si>
  <si>
    <t xml:space="preserve">  ○ 수영장 및 체육관 소모성 자재 구입: 1,000,000원 * 1식</t>
    <phoneticPr fontId="4" type="noConversion"/>
  </si>
  <si>
    <t xml:space="preserve">  ○ 시설물 설비 유지보수: 4,400,000원 * 1식</t>
    <phoneticPr fontId="4" type="noConversion"/>
  </si>
  <si>
    <t xml:space="preserve">  ○ 수영장 공조기 필터 교체: 3,000,000원 * 1식</t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</si>
  <si>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컴퓨터(데스크톱): 2,200,000원 * 13대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</si>
  <si>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수중 청소기: 20,000,000원 * 1대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</si>
  <si>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배리어프리 키오스크: 15,000,000 * 1대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</si>
  <si>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수영 대회용 터치패드: 5,000,000원 * 2대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</si>
  <si>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수영 대회용 터치패드 연장 케이블: 2,200,000원 * 1개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</si>
  <si>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아쿠아로빅 수중 운동 장비: 12,000,000원 * 1식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</si>
  <si>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배리어프리 키오스크: 15,000,000원 * 1대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</si>
  <si>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컴퓨터(데스크톱): 2,200,000원 * 5대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</si>
  <si>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모니터: 300,000원 * 3대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</si>
  <si>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컴퓨터(데스크톱): 2,200,000원 * 4대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</si>
  <si>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일반 휠체어: 300,000원 * 2대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</si>
  <si>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목욕용 의자: 180,000원 * 10개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</si>
  <si>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안전 보호구함: 500,000원 * 2대</t>
    </r>
    <phoneticPr fontId="4" type="noConversion"/>
  </si>
  <si>
    <t xml:space="preserve"> ○ 직원 병가 및 휴직 등 공백발생 시 채용(인건비 25년 기준) * 예초 제외</t>
    <phoneticPr fontId="4" type="noConversion"/>
  </si>
  <si>
    <t xml:space="preserve"> ○ 생체자격증 보유시</t>
  </si>
  <si>
    <t>○ 진남수영장 PC알약 설치</t>
  </si>
  <si>
    <t>○ 회원카드 분실 및 신규회원 대비 구매</t>
  </si>
  <si>
    <t>○ 수영장 영수증 용지 구입(친환경용지)</t>
  </si>
  <si>
    <t>○ 무인 발권기 용지 구입(친환경용지)</t>
  </si>
  <si>
    <t>○ 기타 사무용품 구입</t>
  </si>
  <si>
    <t>○ 소모성 공구류 구입비</t>
  </si>
  <si>
    <t>○ 쓰레기 종량제 봉투 구입</t>
  </si>
  <si>
    <t>○ 사무실1, 카운터1, 카운터2, 강사실1</t>
  </si>
  <si>
    <t>○ 점보롤휴지 ,핸드타올, 면봉, 락스, 세정제 등</t>
  </si>
  <si>
    <t>○ 사무용 PC 소규모 수리</t>
  </si>
  <si>
    <t>○ 수영장 안내,배너, 현수막, 홍보용 리플릿 제작비</t>
  </si>
  <si>
    <t>○ 탈의실 락커 키밴드 등 구입비</t>
  </si>
  <si>
    <t>○ 의약품, 자가진단키트, 마스크 등 구입비</t>
  </si>
  <si>
    <t>○ 법적 대기배출시설 자가측정 용역비(연1회)</t>
  </si>
  <si>
    <t>○ 유지보수 관리계약</t>
  </si>
  <si>
    <t>○ 법적 방역소독 5회 / 수목 소독 2회</t>
  </si>
  <si>
    <t>○ 법적 정기검사 실시</t>
  </si>
  <si>
    <t>○ 법적 검사 실시</t>
  </si>
  <si>
    <t>○ 사용중검사, 성능검사 각 연 1회(보일러 3대)</t>
  </si>
  <si>
    <t>○ 법정 정기안전점검(5,250천원) 2회</t>
  </si>
  <si>
    <t>○ 법정 전기 연차 점검</t>
  </si>
  <si>
    <t>○ 법정 소방 점검</t>
  </si>
  <si>
    <t>○ 승강기시설안전관리법에 의한 안전관리 대행</t>
  </si>
  <si>
    <t>○ 저수조 청소 용역비</t>
  </si>
  <si>
    <t>○ 시설관리 전산프로그램 사용 수수료</t>
  </si>
  <si>
    <t>○ 신용카드 결제에 따른 카드사 결제대행수수료</t>
  </si>
  <si>
    <t>○ 보일러 관체 내부 약품 세척 용역비</t>
  </si>
  <si>
    <t>○ 진남수영장 보일러 유지보수 계약비</t>
  </si>
  <si>
    <t>○ 진남수영장 회원관리 프로그램 용역비</t>
  </si>
  <si>
    <t>○ 수영장 회원관리 프로그램 서버 유지관리 용역비</t>
  </si>
  <si>
    <t>○ 밸런싱, 집수정 청소 용역비</t>
  </si>
  <si>
    <t>○ 월1회 수영장 내부 바닥청소 용역비(하계 월2회)</t>
  </si>
  <si>
    <t>○ 년 1회 생존수영 인증</t>
  </si>
  <si>
    <t>○ 연 1회 대정비 타일청소(수영조 내/외부)</t>
  </si>
  <si>
    <t>○ 무인경비(에스원) 경비</t>
  </si>
  <si>
    <t xml:space="preserve">○ 보안용 CCTV 경비 </t>
  </si>
  <si>
    <t>○ 연 4회 진남, 장애인 주변부 예초</t>
  </si>
  <si>
    <t>○ 정수기(6), 공기청정기(4) 임차료</t>
  </si>
  <si>
    <t>○ 복합기 임대료(1대) 지급</t>
  </si>
  <si>
    <t>○ 진남수영장 비상안심벨(6대) 임대료</t>
  </si>
  <si>
    <t>○ 체육시설부(78명) 근무복(대체인력 포함)</t>
  </si>
  <si>
    <t>○ 수영장(진남,망마, 웅천) 수영강사 강습관련 장비 구입(대체인력 포함 22명)</t>
  </si>
  <si>
    <t>○ 진남 4, 망마 2, 장애인 3, 웅천 2</t>
  </si>
  <si>
    <t>○ 수영강사 8명 간식비</t>
  </si>
  <si>
    <t>○ 안전장구류 안전에 관한 개인장구류 구입</t>
  </si>
  <si>
    <t>○ 연 1회 법정 주민세(재산분) 납부</t>
  </si>
  <si>
    <t>○ 연 1회 법정 책임보험 가입</t>
  </si>
  <si>
    <t>○ 25년도 이용객 증가, 요금의 단가 상승분 반영</t>
  </si>
  <si>
    <t>○ 전화기, 인터넷, 비상안심벨 통신요금</t>
  </si>
  <si>
    <t>○ 교통유발부담금 연 1회 납부</t>
  </si>
  <si>
    <t>○ 문자메시지 발송요금</t>
  </si>
  <si>
    <t>○ 부장1, 진남3, 망마3, 장애인2, 웅천2</t>
  </si>
  <si>
    <t>○ 부장1, 진남2, 망마1, 장애인1, 웅천1</t>
  </si>
  <si>
    <t>○온, 오프라인 결제 시 시설이용료와 강습비가 분리 결제 및 전산 처리 되도록 프로그램 개발</t>
  </si>
  <si>
    <t>○ 회의개최 시 음식물 및 다과, 체육대회 식대 포함
   (1년이상 근로계약을 체결하는 비정규직 포함)</t>
  </si>
  <si>
    <t>○30인이하 400,000원</t>
  </si>
  <si>
    <t>○10인이하 175,000원</t>
  </si>
  <si>
    <t>○25인이하 350,000원</t>
  </si>
  <si>
    <t>○ 1급 기준: 최초 1시간(250,000원) + 초과 매시간(120,000원) + 이동보상(60,000원)</t>
  </si>
  <si>
    <t xml:space="preserve">○수영장내/외부벌레퇴치약품살포/감염병예방약품 </t>
  </si>
  <si>
    <t xml:space="preserve">○청관제, 응집제, 소금 등 </t>
  </si>
  <si>
    <t xml:space="preserve"> ○ 진남수영장 수선유지보수비</t>
  </si>
  <si>
    <t xml:space="preserve"> ○ 여과기 기능 노후로 인한 여과재 교체 실시</t>
  </si>
  <si>
    <t xml:space="preserve"> ○ 환경관리 기간제 근로자 인건비 인상 반영</t>
  </si>
  <si>
    <t xml:space="preserve"> ○ 아쿠아로빅 기간제 초단시간 강사 인건비 인상 반영</t>
  </si>
  <si>
    <t xml:space="preserve"> ○ 컴퓨터(16대) 알약 임대</t>
  </si>
  <si>
    <t xml:space="preserve"> ○ 수영장 영수증 용지 구입(친환경용지)</t>
  </si>
  <si>
    <t xml:space="preserve"> ○ 회원카드 분실 및 신규회원 대비 구매</t>
  </si>
  <si>
    <t xml:space="preserve"> ○ 무인발매기 용지 구입(친환경용지)</t>
  </si>
  <si>
    <t xml:space="preserve"> ○ 쓰레기 종량제 봉투(50L) 구입</t>
    <phoneticPr fontId="4" type="noConversion"/>
  </si>
  <si>
    <t xml:space="preserve"> ○ 복사기 카트리지(검정, 노랑, 적색, 파랑, 폐토너통) 구입</t>
  </si>
  <si>
    <t xml:space="preserve"> ○ 리플릿 및 현수막 구입</t>
  </si>
  <si>
    <t xml:space="preserve"> ○ 청소용품(밀대, 물걸레 등), 위생용품(면봉, 락스, 세정제 등) 구입</t>
  </si>
  <si>
    <t xml:space="preserve"> ○ 소모성 공구류 구입</t>
  </si>
  <si>
    <t xml:space="preserve"> ○ 사무용 PC, 영수증 단말기, 팩스 등 소규모 수리</t>
  </si>
  <si>
    <t xml:space="preserve"> ○ 수영장 내 시설 소모품 구입비</t>
  </si>
  <si>
    <t xml:space="preserve"> ○ 다목적체육관(네트, 이동식 펜스, 점수판등) 구입비</t>
  </si>
  <si>
    <t xml:space="preserve"> ○ 사무용품(복사용지 등) 구입비</t>
  </si>
  <si>
    <t xml:space="preserve"> ○ 비상 구급약품 구입비</t>
  </si>
  <si>
    <t xml:space="preserve"> ○ (법점) 승강기 정기검사</t>
  </si>
  <si>
    <t xml:space="preserve"> ○ (법정) 도시가스 정기 검사</t>
  </si>
  <si>
    <t xml:space="preserve"> ○ (법정) 수영장수 수질검사 / 연 4회</t>
  </si>
  <si>
    <t xml:space="preserve"> ○ 저수조 청소 용역(연2회)</t>
  </si>
  <si>
    <t xml:space="preserve"> ○ 소방시설 작동기능, 종합 점검</t>
  </si>
  <si>
    <t xml:space="preserve"> ○ 체육시설 내 외부 방역(연5회)</t>
  </si>
  <si>
    <t xml:space="preserve"> ○ (법정) 대기배출 자가 측정 / 연 1회</t>
  </si>
  <si>
    <t xml:space="preserve"> ○ 신용카드 결제대행수수료</t>
  </si>
  <si>
    <t xml:space="preserve"> ○ 밸런싱탱크, 집수정 청소 용역비</t>
  </si>
  <si>
    <t xml:space="preserve"> ○ 승강기 유지관리 대행 용역비</t>
  </si>
  <si>
    <t xml:space="preserve"> ○ 수영조 내부 청소 용역비</t>
  </si>
  <si>
    <t xml:space="preserve"> ○ 년 1회 생존수영 인증</t>
  </si>
  <si>
    <t xml:space="preserve"> ○ 풀사이드, 샤워장  청소용역 / 연 13회</t>
  </si>
  <si>
    <t xml:space="preserve"> ○ 전기안전관리 대행 용역비</t>
  </si>
  <si>
    <t xml:space="preserve"> ○ 근태, 무인경비 시스템 수수료</t>
  </si>
  <si>
    <t xml:space="preserve"> ○ 건물 정기 안전점검 용역비</t>
  </si>
  <si>
    <t xml:space="preserve"> ○ CCTV 시스템 유지관리 및 장비 임대비용</t>
  </si>
  <si>
    <t xml:space="preserve"> ○ 공기청정기(4대) 임차</t>
  </si>
  <si>
    <t xml:space="preserve"> ○ 비상벨(화장실) 임대 수수료</t>
  </si>
  <si>
    <t xml:space="preserve"> ○ 안전용품(안전화, 장갑, 안전모 등) 구입비</t>
  </si>
  <si>
    <t xml:space="preserve"> ○ 수영강사(7명) 간식비</t>
  </si>
  <si>
    <t xml:space="preserve"> ○ 연 1회 법정 책임보험 가입</t>
  </si>
  <si>
    <t xml:space="preserve"> ○ 연 1회 법정 주민세(재산분) 납부</t>
  </si>
  <si>
    <t xml:space="preserve"> ○ 25년도 이용객 증가, 요금의 단가 상승분 반영</t>
  </si>
  <si>
    <t xml:space="preserve"> ○ 전화기, 비상안심벨, 인터넷 통신요금</t>
  </si>
  <si>
    <t xml:space="preserve"> ○ 문자메시지 발송요금</t>
  </si>
  <si>
    <t xml:space="preserve"> ○ 수영장내/외부벌레퇴치약품살포/감염병예방약품 </t>
  </si>
  <si>
    <t xml:space="preserve"> ○ 수영장 관리용 약품(응집제, 매직쇼크, 정제염, 염소 시약)구입</t>
  </si>
  <si>
    <t xml:space="preserve"> ○ 보건실 이전 설치</t>
  </si>
  <si>
    <t>○ A4, A3 용지 구매</t>
  </si>
  <si>
    <t>○ 2층 사무실, 체력측정실 복사기 카트리지 구입</t>
  </si>
  <si>
    <t>○ 컴퓨터 소모품(마우스, 키보드, 메인보드 등) 구입</t>
  </si>
  <si>
    <t>탈의실 락커 키밴드</t>
  </si>
  <si>
    <t>○ 쓰레기 종량제 봉투(20L, 50L) 구입</t>
  </si>
  <si>
    <t>○ 시설안내 팸플릿, 안전 현황판, 현수막 등 제작</t>
  </si>
  <si>
    <t>○ 체육 프로그램 소모용품 구입(탁구공, 당구천, 배드민턴네트, 탁구 네트 등)</t>
  </si>
  <si>
    <t xml:space="preserve">○ 시설 보수용 공구류 구입비 </t>
  </si>
  <si>
    <t>○ 알약 26천원</t>
  </si>
  <si>
    <t>○ 법정 전기시설 연차점검
  - 관련근거 : 「전기안전관리법 시행규칙」 제30조</t>
    <phoneticPr fontId="4" type="noConversion"/>
  </si>
  <si>
    <t xml:space="preserve">○ 법적 소방 점검
 - 관련근거 :「화재예방,소방시설 설치·유지 및 안전관리에 관한 법률」제25조 </t>
    <phoneticPr fontId="4" type="noConversion"/>
  </si>
  <si>
    <t>○ 전체소독 5회 + 목욕시설 매월 소독
 - 관련근거 :공중위생관리법 제4조, 시행규칙 제7조</t>
    <phoneticPr fontId="4" type="noConversion"/>
  </si>
  <si>
    <t>○ 저수조 탱크 연 2회 청소 
 - 관련근거 :「수도법」제44조, 시행규칙 제22조 3</t>
  </si>
  <si>
    <t xml:space="preserve">○ 승강기(장애인용) 1대 유지관리용역 </t>
  </si>
  <si>
    <t>○ 승강기시설안전관리법에 의한 안전관리 대행
- 관련근거 : 「승강기 안전관리법」 제31조</t>
  </si>
  <si>
    <t>○ 법적 정기검사 실시
   - 관련근거 : 「도시가스사업법」제17조제1항, 동법시행규칙 제25조제7항</t>
  </si>
  <si>
    <t>○ 법적 검사 실시(목욕수, 레지오넬라균 각 1회 실시)
- 관련근거 : 「수도법」제33조 및 동법시행령 제50조</t>
  </si>
  <si>
    <t>○ 보일러 2대 유지관리용역</t>
  </si>
  <si>
    <t xml:space="preserve">○ 신용카드 결제 수수료 </t>
    <phoneticPr fontId="4" type="noConversion"/>
  </si>
  <si>
    <t>○ 개인정보 프로그램 서버 관리비(용역비 상승분 반영)</t>
    <phoneticPr fontId="4" type="noConversion"/>
  </si>
  <si>
    <t>○ 기존 회원관리프로그램 유지관리 용역비(용역비 상승분 반영)
○ 개인정보 보호 암호화 모듈 관리 용역비</t>
    <phoneticPr fontId="4" type="noConversion"/>
  </si>
  <si>
    <t>○ 기본 의약품 구입(붕대, 파스, 진통제 등)</t>
    <phoneticPr fontId="4" type="noConversion"/>
  </si>
  <si>
    <t>○ 장애인국민체육센터 주민세(재산분)</t>
  </si>
  <si>
    <t xml:space="preserve">○ 장애인국민체육센터 통신요금 </t>
  </si>
  <si>
    <t xml:space="preserve">○ 장애인국민체육센터 전기요금 </t>
  </si>
  <si>
    <t xml:space="preserve">○ 장애인국민체육센터 도시가스 요금 </t>
  </si>
  <si>
    <t xml:space="preserve">○ 장애인국민체육센터 상하수도요금 </t>
  </si>
  <si>
    <t xml:space="preserve">○ 문자메시지 사용요금 </t>
  </si>
  <si>
    <t>○ 승강기 사고 배상 책임보험</t>
  </si>
  <si>
    <t xml:space="preserve">○ 특정가스사용시설 가스사고 배상책임보험료 </t>
  </si>
  <si>
    <t>○ 보일러 관리용 약제</t>
  </si>
  <si>
    <t xml:space="preserve">○ 수영강사(4명) </t>
  </si>
  <si>
    <t>- 토요일 수영장 운영에 따른 초과근무</t>
  </si>
  <si>
    <t>- 새벽출근(05:30)에 따른 야간근무</t>
  </si>
  <si>
    <t>- 안전근무 단가: 시간당 7,000원</t>
  </si>
  <si>
    <t xml:space="preserve"> ○ 수상안전요원(4명)</t>
  </si>
  <si>
    <t xml:space="preserve"> ○ 환경관리(4명) 청소 용역비(1월~2월, 2월분)</t>
  </si>
  <si>
    <t xml:space="preserve"> ○ 아쿠아로빅 인건비(1명), 특화강사 인건비(2명)</t>
  </si>
  <si>
    <t xml:space="preserve"> ○ 쓰레기 종량제 봉투 구입</t>
  </si>
  <si>
    <t xml:space="preserve"> ○ 복사기 카트리지 구입(흑백, 칼라, 드럼)</t>
  </si>
  <si>
    <t xml:space="preserve"> ○ 리플릿 및 현수막 제작 비용</t>
  </si>
  <si>
    <t xml:space="preserve"> ○ 화장실(롤화장지, 손세정제), 샤워장 위생용품(면봉 등) 구입</t>
  </si>
  <si>
    <t xml:space="preserve"> ○ 청소용품(밀대, 물걸레 등) 구입비</t>
  </si>
  <si>
    <t xml:space="preserve"> ○ 수영장 및 체육관 소모성 물품 구매(키밴드 등)</t>
  </si>
  <si>
    <t xml:space="preserve"> ○ 소모성 공구류 구입비</t>
  </si>
  <si>
    <t xml:space="preserve"> ○ 의약품, 자가진단키트, 마스크 등 구입비</t>
  </si>
  <si>
    <t xml:space="preserve"> ○ 개인정보 프로그램 서버 임대료</t>
  </si>
  <si>
    <t xml:space="preserve"> ○ 웅천수영장 회원관리 시스템 유지보수 용역비</t>
  </si>
  <si>
    <t xml:space="preserve"> ○ 풀사이드 청소용역 / 연 6회</t>
  </si>
  <si>
    <t xml:space="preserve"> ○ 무인경비 시스템 수수료</t>
  </si>
  <si>
    <t xml:space="preserve"> ○ 전기안전관리자 대행 용역비</t>
  </si>
  <si>
    <t xml:space="preserve"> ○ 녹지구간 예초 작업 용역비(4회)</t>
  </si>
  <si>
    <t xml:space="preserve"> ○ 수영강사(4명) 간식비</t>
  </si>
  <si>
    <t>○ 화장실 비상안심벨 설치에 따른 통신비</t>
  </si>
  <si>
    <t>○ 도시가스 요금 납부</t>
  </si>
  <si>
    <t>○ 상하수도 요금 납부</t>
  </si>
  <si>
    <t>○ 전기요금 요금 납부</t>
  </si>
  <si>
    <t>○ 전화기, 인터넷 통신요금</t>
  </si>
  <si>
    <t xml:space="preserve">○ 수영장내/외부벌레퇴치약품살포/감염병예방약품 </t>
  </si>
  <si>
    <t>○ 정제염, 응집제, 탁도개선제구입비</t>
  </si>
  <si>
    <t xml:space="preserve"> ○ 수영장 및 체육관 소모성 자재 구입</t>
  </si>
  <si>
    <t xml:space="preserve"> ○ 시설물 유지보수 수리비</t>
  </si>
  <si>
    <t xml:space="preserve"> ○ 수영장 공조기 (미둠, 프리)필터 교체비</t>
  </si>
  <si>
    <t xml:space="preserve"> ○ 내구 연한 경과(5년) 및 윈도우 운영 프로그램 교체</t>
  </si>
  <si>
    <t xml:space="preserve"> ○ 체육시설 수중청소기 구입(내구연한:7년)</t>
  </si>
  <si>
    <t xml:space="preserve"> ○ 장애인차별금지 및 권리구제 등에 관한 법률에 따라 장애인용 키오스크 구매</t>
  </si>
  <si>
    <t xml:space="preserve"> ○ 대회용 터치패드 구입</t>
  </si>
  <si>
    <t xml:space="preserve"> ○ 대회용 터치패드 연장케이블 구입 (방송실 ↔ 수영장)</t>
  </si>
  <si>
    <t xml:space="preserve"> ○ 수중 운동 장비(덤벨, 볼, 글러브, 봉, 플라워바, 보관함) 구매</t>
  </si>
  <si>
    <t xml:space="preserve"> ○ 장애인차별금지 및 권리구제 등에 관한 법률에 따라 장애인용 키오스크 구매 </t>
  </si>
  <si>
    <t xml:space="preserve"> ○ 내구 연한 경과(5년) </t>
  </si>
  <si>
    <t>○ 내용연수 도래(사무실, 매표, 측정실)</t>
  </si>
  <si>
    <t>○ 휠체어 추가 구입 민원</t>
  </si>
  <si>
    <t>○ 장애인차별금지 및 권리구제 등의 관한 법률 시행령 제10조의2(2026년 1월 시행)</t>
  </si>
  <si>
    <t>○ 장애인목욕탕용 의자 구입(25년 재고 없음)</t>
  </si>
  <si>
    <t>○ 기계실, 전기실 안전보호구함 구입</t>
  </si>
  <si>
    <t>다. 지출예산(세부사업) - 환경자원사업소</t>
    <phoneticPr fontId="4" type="noConversion"/>
  </si>
  <si>
    <t>도시형 폐기물 처리시설 운영</t>
    <phoneticPr fontId="3" type="noConversion"/>
  </si>
  <si>
    <t>217  관서업무비</t>
    <phoneticPr fontId="4" type="noConversion"/>
  </si>
  <si>
    <t>도시형 폐기물 처리시설 유지보수</t>
    <phoneticPr fontId="3" type="noConversion"/>
  </si>
  <si>
    <t>206  재료비</t>
    <phoneticPr fontId="4" type="noConversion"/>
  </si>
  <si>
    <t>02  약품비</t>
    <phoneticPr fontId="4" type="noConversion"/>
  </si>
  <si>
    <t>03 시험연구비</t>
    <phoneticPr fontId="4" type="noConversion"/>
  </si>
  <si>
    <t>214  수선유지교체비</t>
    <phoneticPr fontId="4" type="noConversion"/>
  </si>
  <si>
    <t>05  수선유지비</t>
    <phoneticPr fontId="4" type="noConversion"/>
  </si>
  <si>
    <t>215  동력비</t>
    <phoneticPr fontId="4" type="noConversion"/>
  </si>
  <si>
    <t>총질소(T-N) 저감시설 설치공사(기계장치)</t>
  </si>
  <si>
    <t>401 시설비및부대비</t>
    <phoneticPr fontId="3" type="noConversion"/>
  </si>
  <si>
    <t>01 시설비</t>
    <phoneticPr fontId="3" type="noConversion"/>
  </si>
  <si>
    <t>도시형 폐기물 처리시설 자산비품 구입(공기구비품)</t>
    <phoneticPr fontId="3" type="noConversion"/>
  </si>
  <si>
    <t>[일반수용비]</t>
    <phoneticPr fontId="3" type="noConversion"/>
  </si>
  <si>
    <t xml:space="preserve"> ○ 사무용 잡품비</t>
    <phoneticPr fontId="4" type="noConversion"/>
  </si>
  <si>
    <t xml:space="preserve">  - 복사용지구입: 23,000원 * 10박스</t>
    <phoneticPr fontId="4" type="noConversion"/>
  </si>
  <si>
    <t xml:space="preserve">  - 표준사무용품: 50,000원 * 10명 * 3회</t>
    <phoneticPr fontId="4" type="noConversion"/>
  </si>
  <si>
    <t xml:space="preserve">  - 사무실 위생 및 청소용품(세탁세제, 유연제, 화장지 등): 500,000원 * 12월</t>
    <phoneticPr fontId="4" type="noConversion"/>
  </si>
  <si>
    <t xml:space="preserve">  - 전산소모 비품비(토너, 드럼, 잉크 등) 100,000원 * 5대 * 2회 </t>
    <phoneticPr fontId="4" type="noConversion"/>
  </si>
  <si>
    <t xml:space="preserve"> ○ 기타 수용비</t>
    <phoneticPr fontId="4" type="noConversion"/>
  </si>
  <si>
    <t xml:space="preserve">  - 범용 S/W 구입 및 리스료 (캐드, 엑셀, 알약 등): 3,000,000원 * 1회</t>
    <phoneticPr fontId="3" type="noConversion"/>
  </si>
  <si>
    <t xml:space="preserve">  - 기술서적 및 업무용자료 구입 등: 400,000원 * 1권(연간 사용료)</t>
    <phoneticPr fontId="4" type="noConversion"/>
  </si>
  <si>
    <t xml:space="preserve">  -  컴퓨터수리비: 200,000원 * 5대</t>
    <phoneticPr fontId="4" type="noConversion"/>
  </si>
  <si>
    <t xml:space="preserve">  -  무전기 수리(소각,바이오,기술,관리): 500,000원 * 2회/년</t>
    <phoneticPr fontId="4" type="noConversion"/>
  </si>
  <si>
    <t xml:space="preserve"> ○ 유인물인쇄</t>
    <phoneticPr fontId="4" type="noConversion"/>
  </si>
  <si>
    <t xml:space="preserve">  - 도면복사 / 제본,사진인화 등: 50,000원 * 7종 * 1회/년</t>
    <phoneticPr fontId="4" type="noConversion"/>
  </si>
  <si>
    <t xml:space="preserve"> ○ 시설 홍보관련</t>
    <phoneticPr fontId="4" type="noConversion"/>
  </si>
  <si>
    <t xml:space="preserve">  -  견학 기념품 제작: 15,000원 * 300개/년</t>
    <phoneticPr fontId="4" type="noConversion"/>
  </si>
  <si>
    <t xml:space="preserve">  -  현수막, 간판 등의 제작비: 1,000,000원 * 1식</t>
    <phoneticPr fontId="4" type="noConversion"/>
  </si>
  <si>
    <t xml:space="preserve"> ○ 기타 소모성 물품 구입</t>
    <phoneticPr fontId="4" type="noConversion"/>
  </si>
  <si>
    <t xml:space="preserve">  - 중앙제어실, 홍보실 비품 구입: 1,000,000원 * 1회</t>
    <phoneticPr fontId="4" type="noConversion"/>
  </si>
  <si>
    <t xml:space="preserve">  - 재난 예방 관련 물품 구입: 1,000,000원 * 1회</t>
    <phoneticPr fontId="3" type="noConversion"/>
  </si>
  <si>
    <t xml:space="preserve">  - 소방시설 유지보수 관련 물품 구매: 1,500,000원 * 2회</t>
    <phoneticPr fontId="3" type="noConversion"/>
  </si>
  <si>
    <t xml:space="preserve"> ○ 소각, 바이오, 폐수 운영비품 구입</t>
    <phoneticPr fontId="4" type="noConversion"/>
  </si>
  <si>
    <t xml:space="preserve">  - 소규모 비품 구입: 500,000원 * 4회</t>
    <phoneticPr fontId="4" type="noConversion"/>
  </si>
  <si>
    <t xml:space="preserve"> ○ 업무대행 수수료</t>
    <phoneticPr fontId="4" type="noConversion"/>
  </si>
  <si>
    <t xml:space="preserve">   - 작업환경 측정(특수건강검진 관련): 3,600,000원 * 2회(상,하반기) * 50%(상반기)</t>
    <phoneticPr fontId="4" type="noConversion"/>
  </si>
  <si>
    <t xml:space="preserve">   - 소방시설 검사(작동기능, 종합점검): 2,000,000원 * 2회 * 50%(상반기)</t>
    <phoneticPr fontId="4" type="noConversion"/>
  </si>
  <si>
    <t xml:space="preserve">   - 대기 자가측정(#A1, #A2, #A3, #A6):  39,100,000원 * 1식 * 50%(상반기)</t>
    <phoneticPr fontId="4" type="noConversion"/>
  </si>
  <si>
    <t xml:space="preserve">   - 악취측정(복합악취, 지정악취): 26,900,000원 * 1식 * 50%(상반기)</t>
    <phoneticPr fontId="3" type="noConversion"/>
  </si>
  <si>
    <t xml:space="preserve">   - CleanSYS(TMS) 정기점검: 800,000원 * 32회(1회/2주, 비상점검 등) * 50%(상반기)</t>
    <phoneticPr fontId="4" type="noConversion"/>
  </si>
  <si>
    <t xml:space="preserve">   - 반입폐기물(바닥재 포함) 성상분석: 3,650,000원 * 12회(월) * 50%(상반기)</t>
    <phoneticPr fontId="4" type="noConversion"/>
  </si>
  <si>
    <t xml:space="preserve">   - 승강기 정기정검: 270,000원 * 12월 * 50%(상반기)</t>
    <phoneticPr fontId="4" type="noConversion"/>
  </si>
  <si>
    <t xml:space="preserve">   - 통합환경허가 변경허가(신고): 20,000,000원 * 1회 * 50%(상반기)</t>
    <phoneticPr fontId="4" type="noConversion"/>
  </si>
  <si>
    <t xml:space="preserve">   - 자원 순환법(에너지 회수)관련 검교정: 15,000,000원 * 1회/년(25지점) * 50%(상반기)</t>
    <phoneticPr fontId="4" type="noConversion"/>
  </si>
  <si>
    <t xml:space="preserve">   - 준설(정화조 및 비점오염원 등): 2,300,000원 * 6회 * 50%(상반기)</t>
    <phoneticPr fontId="4" type="noConversion"/>
  </si>
  <si>
    <t xml:space="preserve">   - 준설(구 소화조 슬러지): 20,000,000원 * 1식 * 50%(상반기)</t>
    <phoneticPr fontId="4" type="noConversion"/>
  </si>
  <si>
    <t xml:space="preserve">   - 중장비 임대료(지게차, 굴삭기 등): 800,000원 * 2회 * 50%(상반기)</t>
    <phoneticPr fontId="4" type="noConversion"/>
  </si>
  <si>
    <t xml:space="preserve">   - 환경정비(예초 등): 3,000,000원 * 3회 * 50%(상반기)</t>
    <phoneticPr fontId="4" type="noConversion"/>
  </si>
  <si>
    <t xml:space="preserve">   - 병해충 방역: 550,000원 * 6월 * 50%(상반기)</t>
    <phoneticPr fontId="4" type="noConversion"/>
  </si>
  <si>
    <t xml:space="preserve">   - 냉온수기 소독: 25,000원 * 월/1회(5EA) * 50%(상반기)</t>
    <phoneticPr fontId="4" type="noConversion"/>
  </si>
  <si>
    <t xml:space="preserve"> ○ 법정검사 수수료</t>
    <phoneticPr fontId="4" type="noConversion"/>
  </si>
  <si>
    <t xml:space="preserve">   - CleanSYS(TMS) 정도검사: 6,100,000원 * 1회 * 50%(상반기)</t>
    <phoneticPr fontId="4" type="noConversion"/>
  </si>
  <si>
    <t xml:space="preserve">   - 다이옥신(대기, 수질) 검사: 6,820,000원 * 1회 * 50%(상반기)</t>
    <phoneticPr fontId="4" type="noConversion"/>
  </si>
  <si>
    <t xml:space="preserve">   - 음식물폐기물처리시설(혐기성분해) 정기검사: 2,500,000원 * 1회 * 50%(상반기)</t>
    <phoneticPr fontId="4" type="noConversion"/>
  </si>
  <si>
    <t xml:space="preserve">   - 기타(보일러,압력용기,호이스트 등): 2,000,000원 * 1회 * 50%(상반기)</t>
    <phoneticPr fontId="4" type="noConversion"/>
  </si>
  <si>
    <t xml:space="preserve">   - 차량(지게차 등) 정기검사 : 60,000원 * 1대 * 50%(상반기)</t>
    <phoneticPr fontId="4" type="noConversion"/>
  </si>
  <si>
    <t xml:space="preserve"> ○ 기타 수수료</t>
    <phoneticPr fontId="4" type="noConversion"/>
  </si>
  <si>
    <t xml:space="preserve">   - 폐수처리분담금: 20,000,000원/월 * 12개월 * 50%(상반기)</t>
    <phoneticPr fontId="4" type="noConversion"/>
  </si>
  <si>
    <t xml:space="preserve">   - 비점오염원, 식수분석(먹는물기준): 500,000원 * 2곳 * 4분기 * 50%(상반기)</t>
    <phoneticPr fontId="4" type="noConversion"/>
  </si>
  <si>
    <t xml:space="preserve">   - 유입 / 방류수 수질분석(회/월): 800,000원 * 12회/년 * 50%(상반기)</t>
    <phoneticPr fontId="4" type="noConversion"/>
  </si>
  <si>
    <t xml:space="preserve">   - 기타 공정(소화액 외 5) 수질분석(회/월): 1,630,000원 * 12회/년 * 50%(상반기)</t>
    <phoneticPr fontId="4" type="noConversion"/>
  </si>
  <si>
    <t xml:space="preserve">   - 전기안전관리자 직무고시 관련 계측장비 검교정: 80,000원 * 1회 * 6EA * 50%(상반기)</t>
    <phoneticPr fontId="4" type="noConversion"/>
  </si>
  <si>
    <t xml:space="preserve"> ○ 시설(시스템) 유지 관리</t>
    <phoneticPr fontId="4" type="noConversion"/>
  </si>
  <si>
    <t xml:space="preserve">   -  설비운영지원시스템(관리시스템): 1,400,000원 * 12월 * 50%(상반기)</t>
    <phoneticPr fontId="4" type="noConversion"/>
  </si>
  <si>
    <t xml:space="preserve">   -  근태관리(관리프로그램): 40,000원 * 12월 * 50%(상반기)</t>
    <phoneticPr fontId="4" type="noConversion"/>
  </si>
  <si>
    <t xml:space="preserve"> ○ 공개입찰(나라장터) 수수료 등: 100,000원 * 6회 * 50%(상반기)</t>
    <phoneticPr fontId="4" type="noConversion"/>
  </si>
  <si>
    <t xml:space="preserve"> ○ 렌트비용</t>
    <phoneticPr fontId="4" type="noConversion"/>
  </si>
  <si>
    <t xml:space="preserve">  -  얼음정수기(2대) 렌트비용: 70,000 * 2대 * 12월</t>
    <phoneticPr fontId="3" type="noConversion"/>
  </si>
  <si>
    <t xml:space="preserve">  -  비데 렌트비용: 20,000원 * 6대 * 12월</t>
    <phoneticPr fontId="4" type="noConversion"/>
  </si>
  <si>
    <t xml:space="preserve">  -  복합기 렌트비용: 140,000원 * 2대 * 12월</t>
    <phoneticPr fontId="4" type="noConversion"/>
  </si>
  <si>
    <t xml:space="preserve">  -  크레인근무자 근골격계 예방 관련 기구 렌트비용: 60,000원 * 1대 * 12월</t>
    <phoneticPr fontId="4" type="noConversion"/>
  </si>
  <si>
    <t xml:space="preserve"> ○ 업무용 차량임차료(렌터카)</t>
    <phoneticPr fontId="4" type="noConversion"/>
  </si>
  <si>
    <t xml:space="preserve">  - 차량임대비: 1,250,000원*1대*12월</t>
    <phoneticPr fontId="4" type="noConversion"/>
  </si>
  <si>
    <t>○ 피복구입비</t>
    <phoneticPr fontId="4" type="noConversion"/>
  </si>
  <si>
    <t xml:space="preserve">  - 동복(방한복): 130,000원 * 42명 * 2벌 * 1회</t>
    <phoneticPr fontId="4" type="noConversion"/>
  </si>
  <si>
    <t xml:space="preserve">  - 하복(작업조끼) 등: 80,000원 * 42명 * 2벌 * 1회</t>
    <phoneticPr fontId="4" type="noConversion"/>
  </si>
  <si>
    <t xml:space="preserve">  - 춘,추복 등: 80,000원 * 42명 * 2벌 * 1회</t>
    <phoneticPr fontId="4" type="noConversion"/>
  </si>
  <si>
    <t>○ 개인 안전장구 구입비</t>
    <phoneticPr fontId="4" type="noConversion"/>
  </si>
  <si>
    <t xml:space="preserve">  - 안전모, 안전화, 작업화 등: 100,000원 * 42명 * 2회</t>
    <phoneticPr fontId="4" type="noConversion"/>
  </si>
  <si>
    <t xml:space="preserve">  - 계절 안전용품(보안경, 헤드렌턴, 쿨토시, 넥워머) 등: 50,000원 * 42명 * 2회</t>
    <phoneticPr fontId="4" type="noConversion"/>
  </si>
  <si>
    <t xml:space="preserve">  - 안전용품(방독마스크 및 필터, 방진복) 등: 20,000원 * 42명 * 12회</t>
    <phoneticPr fontId="4" type="noConversion"/>
  </si>
  <si>
    <t xml:space="preserve">  - 안전장갑(면, 반코팅, 완코팅) 등: 1,290,000원 * 10회</t>
    <phoneticPr fontId="4" type="noConversion"/>
  </si>
  <si>
    <t>○ 구급약품 등 구입: 200,000원 * 2회</t>
    <phoneticPr fontId="4" type="noConversion"/>
  </si>
  <si>
    <t>○ 야간근무자 급식비: 9,000원 * 5명 * 10일 * 12개월</t>
    <phoneticPr fontId="4" type="noConversion"/>
  </si>
  <si>
    <t xml:space="preserve"> ○ 우편요금: 5,000원 * 5건 * 4분기</t>
    <phoneticPr fontId="4" type="noConversion"/>
  </si>
  <si>
    <t xml:space="preserve"> ○ 일반전화 및 인터넷 요금: 65,000원 * 3회선 * 12월</t>
    <phoneticPr fontId="4" type="noConversion"/>
  </si>
  <si>
    <t xml:space="preserve"> ○ 택배비: 5,000원 * 3회 * 4분기</t>
    <phoneticPr fontId="4" type="noConversion"/>
  </si>
  <si>
    <t xml:space="preserve"> ○ 업무용 무선장비 전파 사용료: 11,000원 * 36대 * 1회</t>
    <phoneticPr fontId="4" type="noConversion"/>
  </si>
  <si>
    <t xml:space="preserve"> ○ 공증 및 각종 제증명발급/등기수수료 등: 50,000원 * 12월</t>
    <phoneticPr fontId="4" type="noConversion"/>
  </si>
  <si>
    <t xml:space="preserve"> ○ 주민세(환경자원사업소)</t>
    <phoneticPr fontId="4" type="noConversion"/>
  </si>
  <si>
    <t xml:space="preserve"> ○ 협회비</t>
    <phoneticPr fontId="4" type="noConversion"/>
  </si>
  <si>
    <t xml:space="preserve">  -  소방, 위험물, 전기기술인 협회비: 185,000 * 1회</t>
    <phoneticPr fontId="4" type="noConversion"/>
  </si>
  <si>
    <t xml:space="preserve">  -  기타협회비(전국 생활폐기물 자원회수 운영협회): 300,000원 * 1회</t>
    <phoneticPr fontId="4" type="noConversion"/>
  </si>
  <si>
    <t xml:space="preserve"> ○ 환경책임보험료</t>
    <phoneticPr fontId="4" type="noConversion"/>
  </si>
  <si>
    <t xml:space="preserve">  - 환경책임보험 갱신(여수시도시형폐기물종합처리시설): 6,000,000원 * 1회</t>
    <phoneticPr fontId="4" type="noConversion"/>
  </si>
  <si>
    <t xml:space="preserve"> ○ 폐기물처분 분담금</t>
    <phoneticPr fontId="4" type="noConversion"/>
  </si>
  <si>
    <t xml:space="preserve">  - 소각재,안정화재(소각시설): 6,600톤/년 * 10,000원/톤 * 산정지수(1.2)</t>
    <phoneticPr fontId="4" type="noConversion"/>
  </si>
  <si>
    <t xml:space="preserve">  - 오니(폐수처리, 바이오시설): 960톤/년 * 25,000원/톤 * 산정지수(1.2)</t>
    <phoneticPr fontId="4" type="noConversion"/>
  </si>
  <si>
    <t xml:space="preserve"> ○ 차량유지 공공요금(지게차)</t>
    <phoneticPr fontId="4" type="noConversion"/>
  </si>
  <si>
    <t xml:space="preserve">  - 자동차세: 100,000원 * 1대 * 1회</t>
    <phoneticPr fontId="4" type="noConversion"/>
  </si>
  <si>
    <t xml:space="preserve">  - 차량(지게차)보험료: 300,000원 * 1대 * 1회</t>
    <phoneticPr fontId="4" type="noConversion"/>
  </si>
  <si>
    <t xml:space="preserve"> ○ 차량(렌터카, 지게차) 유지비</t>
    <phoneticPr fontId="4" type="noConversion"/>
  </si>
  <si>
    <t xml:space="preserve">  - 차량유지비(세차, 소모품, 엔진오일 등): 300,000원 * 1대 * 2회</t>
    <phoneticPr fontId="4" type="noConversion"/>
  </si>
  <si>
    <t xml:space="preserve">  - 차량유류비: 30리터/(지게차) * 1,700원 * 10회</t>
    <phoneticPr fontId="4" type="noConversion"/>
  </si>
  <si>
    <t xml:space="preserve">  - 전기차량충전비: 1.5만km/년 * 66원/km</t>
    <phoneticPr fontId="4" type="noConversion"/>
  </si>
  <si>
    <t xml:space="preserve"> ○ 관내 여비: 20,000원 * 5명 * 2일 * 12월</t>
    <phoneticPr fontId="4" type="noConversion"/>
  </si>
  <si>
    <t xml:space="preserve"> ○ 관외 여비:105,000원 * 4명 * 3일 * 4회</t>
    <phoneticPr fontId="4" type="noConversion"/>
  </si>
  <si>
    <t>○ 부서운영업무비: (400,000원*12월) + (5,000원*12명*12월)</t>
    <phoneticPr fontId="4" type="noConversion"/>
  </si>
  <si>
    <t xml:space="preserve"> ○ 요소수(40%): 520원 * 312.5kg * 320일 * 50%(상반기)</t>
    <phoneticPr fontId="4" type="noConversion"/>
  </si>
  <si>
    <t xml:space="preserve"> ○ 소석회슬러리: 81.4원 * 5,625kg * 320일 * 50%(상반기)</t>
    <phoneticPr fontId="4" type="noConversion"/>
  </si>
  <si>
    <t xml:space="preserve"> ○ 활성탄(소각): 2,850원 * 55kg * 320일 * 50%(상반기)</t>
    <phoneticPr fontId="4" type="noConversion"/>
  </si>
  <si>
    <t xml:space="preserve"> ○ 탈취제(반입장): 2,800원 * 7L * 365일 * 50%(상반기)</t>
    <phoneticPr fontId="4" type="noConversion"/>
  </si>
  <si>
    <t xml:space="preserve"> ○ 청관제: 4,100원 * 3.5kg * 320일 * 50%(상반기)</t>
    <phoneticPr fontId="4" type="noConversion"/>
  </si>
  <si>
    <t xml:space="preserve"> ○ 탈산제: 4,000원 * 3.5kg * 320일 * 50%(상반기)</t>
    <phoneticPr fontId="4" type="noConversion"/>
  </si>
  <si>
    <t xml:space="preserve"> ○ 부식방지제: 5,000원 * 1.0kg * 320일 * 50%(상반기)</t>
    <phoneticPr fontId="4" type="noConversion"/>
  </si>
  <si>
    <t xml:space="preserve"> ○ 고형화제(킬레이트): 1,800원 * 168kg/일 * 320일 * 50%(상반기)</t>
    <phoneticPr fontId="4" type="noConversion"/>
  </si>
  <si>
    <t xml:space="preserve"> ○ 암모니아수(9%): 470원/kg * 190L * 320일 * 50%(상반기)</t>
    <phoneticPr fontId="4" type="noConversion"/>
  </si>
  <si>
    <t xml:space="preserve"> ○ 가성소다(4.5%): 190원 * 60L * 360일 * 50%(상반기)</t>
    <phoneticPr fontId="4" type="noConversion"/>
  </si>
  <si>
    <t xml:space="preserve"> ○ 응집제(응집보조제 포함): 4,100원 * 114kg * 360일 * 50%(상반기)</t>
    <phoneticPr fontId="4" type="noConversion"/>
  </si>
  <si>
    <t xml:space="preserve"> ○ 소포제(폐수): 3,200원 * 9kg/일 * 360일 * 50%(상반기)</t>
    <phoneticPr fontId="4" type="noConversion"/>
  </si>
  <si>
    <t xml:space="preserve"> ○ 황산(9%): 280원 * 60L/일 * 360일 * 50%(상반기)</t>
    <phoneticPr fontId="4" type="noConversion"/>
  </si>
  <si>
    <t xml:space="preserve"> ○ 구연산: 2,500원 * 15kg * 360일 * 50%(상반기)</t>
    <phoneticPr fontId="4" type="noConversion"/>
  </si>
  <si>
    <t xml:space="preserve"> ○ 차아염소산나트륨(12%):700원 * 45L * 360일 * 50%(상반기)</t>
    <phoneticPr fontId="4" type="noConversion"/>
  </si>
  <si>
    <t xml:space="preserve"> ○ 기타 약품(염화제2철, 살충제 등): 400원 * 5kg * 150일</t>
    <phoneticPr fontId="4" type="noConversion"/>
  </si>
  <si>
    <t xml:space="preserve"> ○ 설비운영시스템 모바일(태블릿) 버전(S/W) 구축비: 6,600,000원 * 1식</t>
    <phoneticPr fontId="4" type="noConversion"/>
  </si>
  <si>
    <t xml:space="preserve"> ○ 실험실 운영물품(실험 분석키트 및 소모자재) 구입: 800,000원 * 6종</t>
    <phoneticPr fontId="4" type="noConversion"/>
  </si>
  <si>
    <t>○ 소각시설물  정기 수선유지비(시설투자비의 0.5% 적용)</t>
    <phoneticPr fontId="4" type="noConversion"/>
  </si>
  <si>
    <t xml:space="preserve"> - 35,889,672,000원 * 0.5%(12개월)</t>
    <phoneticPr fontId="4" type="noConversion"/>
  </si>
  <si>
    <t>○ 바이오시설물등 수선유지비(시설투자비의  0.8% 적용)</t>
    <phoneticPr fontId="4" type="noConversion"/>
  </si>
  <si>
    <t xml:space="preserve"> - 6,613,000,000원 * 0.8%</t>
    <phoneticPr fontId="4" type="noConversion"/>
  </si>
  <si>
    <t>○ 폐수처리시설 KIMAS 교체: 100,000,000원 * 1식</t>
    <phoneticPr fontId="3" type="noConversion"/>
  </si>
  <si>
    <t>○ 기타 잡자재, 소모자재(베어링,실,벨트 등): 1,518,000원*6회</t>
    <phoneticPr fontId="3" type="noConversion"/>
  </si>
  <si>
    <t>○ 폐기물 위탁처리비</t>
    <phoneticPr fontId="4" type="noConversion"/>
  </si>
  <si>
    <t xml:space="preserve"> - 폐기물 운반비(바닥재,안정화처리물,오니) 7,800톤 * 30천원/톤 * 50%(상반기)</t>
    <phoneticPr fontId="4" type="noConversion"/>
  </si>
  <si>
    <t>○ 공업용수 사용요금</t>
    <phoneticPr fontId="4" type="noConversion"/>
  </si>
  <si>
    <t xml:space="preserve"> - 보일러용수(demi-water): 1,650원 * 7,100톤 * 12개월 * 50%(상반기)</t>
    <phoneticPr fontId="4" type="noConversion"/>
  </si>
  <si>
    <t xml:space="preserve"> - 공업용수: 410원 * 6,500톤 * 12월 * 50%(상반기)</t>
    <phoneticPr fontId="4" type="noConversion"/>
  </si>
  <si>
    <t>○ 전기요금: 180원 * 380,000kwh * 12월 * 50%(상반기)</t>
    <phoneticPr fontId="4" type="noConversion"/>
  </si>
  <si>
    <t>○ 연료비</t>
    <phoneticPr fontId="4" type="noConversion"/>
  </si>
  <si>
    <t xml:space="preserve"> - 보조버너(정기유지보수 승온): 1,200원 * 5,000L * 2회 * 50%(상반기)</t>
    <phoneticPr fontId="4" type="noConversion"/>
  </si>
  <si>
    <t xml:space="preserve"> - 보조버너(비상정지 승온): 1,200원 * 3,000L * 2회 * 50%(상반기)</t>
    <phoneticPr fontId="4" type="noConversion"/>
  </si>
  <si>
    <t xml:space="preserve"> - 비상발전기: 1,600원 * 50L * 12월 * 50%(상반기)</t>
    <phoneticPr fontId="4" type="noConversion"/>
  </si>
  <si>
    <t xml:space="preserve"> - 보조보일러 및 기타: 1,600원 * 200L * 3월 * 50%(상반기)</t>
    <phoneticPr fontId="4" type="noConversion"/>
  </si>
  <si>
    <t xml:space="preserve">○ 여수시도시형폐기물종합처리시설 총질소(T-N) 저감시설 설치공사 관련 설계비 * 1식 </t>
    <phoneticPr fontId="77" type="noConversion"/>
  </si>
  <si>
    <t xml:space="preserve"> - 총질소(T-N) 저감시설 설계비(기본 및 실시 설계) * 1식</t>
    <phoneticPr fontId="77" type="noConversion"/>
  </si>
  <si>
    <t>○ 바이오가스화시설 비상발전기 설치공사 관련비 * 1식</t>
    <phoneticPr fontId="77" type="noConversion"/>
  </si>
  <si>
    <t xml:space="preserve"> - 비상발전기(300Kwh) 설치비 * 1식</t>
    <phoneticPr fontId="77" type="noConversion"/>
  </si>
  <si>
    <t xml:space="preserve">  ○ 시설관리 운영비품 구매</t>
    <phoneticPr fontId="4" type="noConversion"/>
  </si>
  <si>
    <t xml:space="preserve"> - CCTV 녹화기 및 카메라 구매(TTA 인증 제품, 하드디스크 포함)</t>
    <phoneticPr fontId="4" type="noConversion"/>
  </si>
  <si>
    <t xml:space="preserve"> - 현장 설비관리용 태블릿 구매: 1,500,000원 * 1식</t>
    <phoneticPr fontId="4" type="noConversion"/>
  </si>
  <si>
    <t xml:space="preserve"> - 홍보실(견학 관련) 빔 프로젝터 구매: 2,800,000원 * 1식</t>
    <phoneticPr fontId="4" type="noConversion"/>
  </si>
  <si>
    <t>○ 사무용품구입</t>
    <phoneticPr fontId="4" type="noConversion"/>
  </si>
  <si>
    <t xml:space="preserve"> 복사용지(A4) 사용량 : 23,000원 × 10박스 × 1회</t>
    <phoneticPr fontId="4" type="noConversion"/>
  </si>
  <si>
    <t xml:space="preserve"> 표준사무용품(일근자 : 10명) × 3회</t>
    <phoneticPr fontId="4" type="noConversion"/>
  </si>
  <si>
    <t xml:space="preserve"> 작업복 세탁관련(교대 및 현장 근무자 : 35명)</t>
    <phoneticPr fontId="4" type="noConversion"/>
  </si>
  <si>
    <t xml:space="preserve"> 전산 소모품 : 칼라 프린트 잉크 및 토너(제어실4, 소장실1), 추가 인쇄비</t>
    <phoneticPr fontId="4" type="noConversion"/>
  </si>
  <si>
    <t xml:space="preserve">○ 범용 S/W 구입(엑셀13, 알약13, 캐드 등) </t>
    <phoneticPr fontId="77" type="noConversion"/>
  </si>
  <si>
    <t xml:space="preserve">  물가자료 구매(설계서 작성용)</t>
    <phoneticPr fontId="4" type="noConversion"/>
  </si>
  <si>
    <t xml:space="preserve">  컴퓨터 수리비 (24시간 연속운전 컴퓨터 소각3, 바이오1, TMS전송 1)</t>
    <phoneticPr fontId="4" type="noConversion"/>
  </si>
  <si>
    <t xml:space="preserve">  무전기 수리(36대) : 500,000 × 2회(상,하반기 유지보수 기간 이후) </t>
    <phoneticPr fontId="4" type="noConversion"/>
  </si>
  <si>
    <t>○ 유인물 인쇄</t>
    <phoneticPr fontId="4" type="noConversion"/>
  </si>
  <si>
    <t xml:space="preserve">  제본(상/하 유지보수 완료보고서, 매뉴얼 등), 사진인화 관련</t>
    <phoneticPr fontId="4" type="noConversion"/>
  </si>
  <si>
    <t>○ 시설관련</t>
    <phoneticPr fontId="4" type="noConversion"/>
  </si>
  <si>
    <t xml:space="preserve">  도시형폐기물 견학자 기념품 제작</t>
    <phoneticPr fontId="4" type="noConversion"/>
  </si>
  <si>
    <t xml:space="preserve">  안전, 화재 등 현수막 제작</t>
    <phoneticPr fontId="4" type="noConversion"/>
  </si>
  <si>
    <t>○ 기타 운영비품</t>
    <phoneticPr fontId="4" type="noConversion"/>
  </si>
  <si>
    <t xml:space="preserve"> 중앙제어실, 홍보실 비품 구입</t>
    <phoneticPr fontId="4" type="noConversion"/>
  </si>
  <si>
    <t xml:space="preserve">   재난대비  훈련관련 등 물품 구매</t>
    <phoneticPr fontId="3" type="noConversion"/>
  </si>
  <si>
    <t xml:space="preserve">   소방시설 보수관련 물품 교체(노후화, 사용기한 등)</t>
    <phoneticPr fontId="3" type="noConversion"/>
  </si>
  <si>
    <t>○ 소각시설 운영비품</t>
    <phoneticPr fontId="4" type="noConversion"/>
  </si>
  <si>
    <t xml:space="preserve"> 100만원 이하 소모품 구매(수중펌프 등)</t>
    <phoneticPr fontId="4" type="noConversion"/>
  </si>
  <si>
    <t>○ 전문기관 용역(법정 용역)</t>
    <phoneticPr fontId="77" type="noConversion"/>
  </si>
  <si>
    <t xml:space="preserve">  산업안전보건법 제125조(작업환경측정등) 관련, 2회/년</t>
    <phoneticPr fontId="4" type="noConversion"/>
  </si>
  <si>
    <t>『소방시설설치유지 및 안전관리에 관한 법률』제25조 관련(작동기능점검, 종합정밀점검)</t>
    <phoneticPr fontId="4" type="noConversion"/>
  </si>
  <si>
    <t>전기안전관리자의 직무에 관한 고시 제3조 점검 종류별 측정 및 시험(1회/1년)</t>
    <phoneticPr fontId="3" type="noConversion"/>
  </si>
  <si>
    <t>환경오염시설의 통합관리에 관한 법률 제31조(자가측정) 관련</t>
    <phoneticPr fontId="4" type="noConversion"/>
  </si>
  <si>
    <t>악취 측정( 배출구 및 부지경계 10지점, 지정악취 22종 등)</t>
    <phoneticPr fontId="3" type="noConversion"/>
  </si>
  <si>
    <t xml:space="preserve"> 대기환경보전법 제32조(측정기기의 부착 등) 4항 관련, 32회/년</t>
    <phoneticPr fontId="4" type="noConversion"/>
  </si>
  <si>
    <t>에너지 회수 및 온실가스 관련 분석(반입폐기물 성상분석 등), 1회/월</t>
    <phoneticPr fontId="4" type="noConversion"/>
  </si>
  <si>
    <t xml:space="preserve"> 승강기시설 안전관리법 제17조(승강기의 자체점검) 1함 및 4항 관련, 1회/월</t>
    <phoneticPr fontId="4" type="noConversion"/>
  </si>
  <si>
    <t>통합환경허가 대응(통합환경허가 변경허가(신고), 기 허가 오류사항 수정 등)</t>
    <phoneticPr fontId="3" type="noConversion"/>
  </si>
  <si>
    <t xml:space="preserve"> 자원순환법 에너지 회수 부분관련 자료(검교정 시기: 1회/1년)</t>
    <phoneticPr fontId="4" type="noConversion"/>
  </si>
  <si>
    <t xml:space="preserve">  슬러지 준설(집수조, 약품탱크, 비점오염원 퇴적물 등)</t>
    <phoneticPr fontId="4" type="noConversion"/>
  </si>
  <si>
    <t xml:space="preserve">  슬러지 준설: 구소화조 내부</t>
    <phoneticPr fontId="4" type="noConversion"/>
  </si>
  <si>
    <t xml:space="preserve"> 시설운영관련 중장비 임대(지게차(5톤이상), 굴삭기 등)</t>
    <phoneticPr fontId="4" type="noConversion"/>
  </si>
  <si>
    <t xml:space="preserve"> 여수시도시형폐기물 내 예초작업(3회)</t>
    <phoneticPr fontId="4" type="noConversion"/>
  </si>
  <si>
    <t xml:space="preserve"> 병해충 방역(사무실, 제어실, 식당 등)</t>
    <phoneticPr fontId="4" type="noConversion"/>
  </si>
  <si>
    <t xml:space="preserve"> 근로자 보건강화, 냉온수기(현장, 주민감시실, 바이오, 계근대, 크레인실) 소독 및 청소</t>
    <phoneticPr fontId="4" type="noConversion"/>
  </si>
  <si>
    <t>○ 법정검사 수수료</t>
    <phoneticPr fontId="77" type="noConversion"/>
  </si>
  <si>
    <t>환경분야 시험ㆍ검사 등에 관한 법률 제11조(측정기기의 정도검사) 제1항 및 4항, 제30조(수수료) 1항 관련</t>
    <phoneticPr fontId="4" type="noConversion"/>
  </si>
  <si>
    <t>잔류성유기오염물질관리법 제19조(잔류성유기오염물질의 측정) 및 동법 시행규칙 제14조 관련</t>
    <phoneticPr fontId="4" type="noConversion"/>
  </si>
  <si>
    <t>폐기물처리시설의 검사수수료(국립환경과학원고시 제2023-31호)</t>
    <phoneticPr fontId="4" type="noConversion"/>
  </si>
  <si>
    <t>산업안전보건법 제36조(안전검사) 1항 관련(보일러:3곳, 압력용기 등: 16곳)</t>
    <phoneticPr fontId="4" type="noConversion"/>
  </si>
  <si>
    <t>○ 기타용역 제공에 대한 수수료</t>
    <phoneticPr fontId="77" type="noConversion"/>
  </si>
  <si>
    <t>「자원순환기본법」제21조 의거</t>
    <phoneticPr fontId="4" type="noConversion"/>
  </si>
  <si>
    <t xml:space="preserve"> (우수)비점오염원 관리규정, 식수(먹는물기준 준수, 2회/년)</t>
    <phoneticPr fontId="4" type="noConversion"/>
  </si>
  <si>
    <t xml:space="preserve"> 바이오 및 폐수 운영관련</t>
    <phoneticPr fontId="4" type="noConversion"/>
  </si>
  <si>
    <t xml:space="preserve"> 바이오시설 운영관련</t>
    <phoneticPr fontId="4" type="noConversion"/>
  </si>
  <si>
    <t xml:space="preserve"> 전기안전관리자의 직무에 관한 고시 제9조(계측장비 교정 등)(1회/1년)</t>
    <phoneticPr fontId="4" type="noConversion"/>
  </si>
  <si>
    <t>○ 시설(시스템) 유지 관리</t>
    <phoneticPr fontId="3" type="noConversion"/>
  </si>
  <si>
    <t>설비운영지원시스템 도입</t>
    <phoneticPr fontId="3" type="noConversion"/>
  </si>
  <si>
    <t>근태관리 프로그램(지문)</t>
    <phoneticPr fontId="3" type="noConversion"/>
  </si>
  <si>
    <t>○ 나라장터 물품구매 수수료</t>
    <phoneticPr fontId="4" type="noConversion"/>
  </si>
  <si>
    <t>○ 렌트비용</t>
    <phoneticPr fontId="4" type="noConversion"/>
  </si>
  <si>
    <t>탕비실(사무실용), 제어실(현장근무자용)</t>
    <phoneticPr fontId="3" type="noConversion"/>
  </si>
  <si>
    <t>비데(화장실3곳)</t>
    <phoneticPr fontId="4" type="noConversion"/>
  </si>
  <si>
    <t>복합기(사무실, 계근대)</t>
    <phoneticPr fontId="4" type="noConversion"/>
  </si>
  <si>
    <t>산업안전보건위원회 요청사항(크레인 근무자 근골격계 예방 수립)</t>
    <phoneticPr fontId="3" type="noConversion"/>
  </si>
  <si>
    <t>○ 차량유지비</t>
    <phoneticPr fontId="4" type="noConversion"/>
  </si>
  <si>
    <t>공영차량 운영: 장거리 출장으로 인한 차량변경(니로→EV6)</t>
    <phoneticPr fontId="4" type="noConversion"/>
  </si>
  <si>
    <t>○ 피복구입</t>
    <phoneticPr fontId="4" type="noConversion"/>
  </si>
  <si>
    <t xml:space="preserve">  동복 지급(2벌)</t>
    <phoneticPr fontId="4" type="noConversion"/>
  </si>
  <si>
    <t xml:space="preserve">  하복 지급(2벌)</t>
    <phoneticPr fontId="4" type="noConversion"/>
  </si>
  <si>
    <t xml:space="preserve">  춘추복 지급(2벌)</t>
    <phoneticPr fontId="4" type="noConversion"/>
  </si>
  <si>
    <t>○ 개인안전 장구 구입</t>
    <phoneticPr fontId="4" type="noConversion"/>
  </si>
  <si>
    <t xml:space="preserve">  안전화, 안전모 지급(2회/년)</t>
    <phoneticPr fontId="4" type="noConversion"/>
  </si>
  <si>
    <t xml:space="preserve">  안전용품 지급(정기유지보수 및 계절별 지급)</t>
    <phoneticPr fontId="4" type="noConversion"/>
  </si>
  <si>
    <t xml:space="preserve">  유해가스(바이오, 폐수) 및 비산먼지 제거용 마스크, 방진복 지급(매월)</t>
    <phoneticPr fontId="4" type="noConversion"/>
  </si>
  <si>
    <t xml:space="preserve">  면/반코팅(15일/월), 완코팅(30일/월) 지급</t>
    <phoneticPr fontId="4" type="noConversion"/>
  </si>
  <si>
    <t xml:space="preserve"> 정비기간 구급 및 기타 약품 구입(상/하반기)</t>
    <phoneticPr fontId="4" type="noConversion"/>
  </si>
  <si>
    <t>○ 급식비</t>
    <phoneticPr fontId="4" type="noConversion"/>
  </si>
  <si>
    <t xml:space="preserve"> 계약관련 문서 등기발송(협력업체)</t>
    <phoneticPr fontId="4" type="noConversion"/>
  </si>
  <si>
    <t xml:space="preserve"> 인터넷 3회선(TMS실, 사무실, 계근대시설)</t>
    <phoneticPr fontId="4" type="noConversion"/>
  </si>
  <si>
    <t xml:space="preserve">   물품 및 검교정 등 발송</t>
    <phoneticPr fontId="3" type="noConversion"/>
  </si>
  <si>
    <t>『전파법』제67조(전파사용료)에 의거 무전기 전파 사용료 납부(36대)</t>
    <phoneticPr fontId="4" type="noConversion"/>
  </si>
  <si>
    <t>주민세 사업소분</t>
    <phoneticPr fontId="4" type="noConversion"/>
  </si>
  <si>
    <t>○ 협회비</t>
    <phoneticPr fontId="4" type="noConversion"/>
  </si>
  <si>
    <t xml:space="preserve"> 산업안전관리 협회 등록</t>
    <phoneticPr fontId="4" type="noConversion"/>
  </si>
  <si>
    <t xml:space="preserve"> 전국 생활폐기물 자원회수시설 운영협회(소장단)</t>
    <phoneticPr fontId="4" type="noConversion"/>
  </si>
  <si>
    <t>○ 환경책임보험료</t>
    <phoneticPr fontId="4" type="noConversion"/>
  </si>
  <si>
    <t>「환경오염피해배상책임 및 구제에 관한 법률」제17조 의거 환경책임보험의무 가입</t>
    <phoneticPr fontId="4" type="noConversion"/>
  </si>
  <si>
    <t>○ 폐기물처분 분담금</t>
    <phoneticPr fontId="4" type="noConversion"/>
  </si>
  <si>
    <t>발생량</t>
    <phoneticPr fontId="4" type="noConversion"/>
  </si>
  <si>
    <t>요율</t>
    <phoneticPr fontId="4" type="noConversion"/>
  </si>
  <si>
    <t>산정지수</t>
    <phoneticPr fontId="4" type="noConversion"/>
  </si>
  <si>
    <t>○ 차량유지 공공요금(지게차)</t>
    <phoneticPr fontId="4" type="noConversion"/>
  </si>
  <si>
    <t xml:space="preserve"> 지게차 자동차세(1회/년)</t>
    <phoneticPr fontId="4" type="noConversion"/>
  </si>
  <si>
    <t xml:space="preserve"> 지게차 보험료</t>
    <phoneticPr fontId="4" type="noConversion"/>
  </si>
  <si>
    <t>○ 차량선박비(렌터카, 지게차)</t>
  </si>
  <si>
    <t xml:space="preserve"> 소모품(엔진오일 등) 교체</t>
    <phoneticPr fontId="4" type="noConversion"/>
  </si>
  <si>
    <t xml:space="preserve"> 연료(경유) 구입</t>
    <phoneticPr fontId="4" type="noConversion"/>
  </si>
  <si>
    <t xml:space="preserve"> 급속충전</t>
    <phoneticPr fontId="4" type="noConversion"/>
  </si>
  <si>
    <t>○ 사규(여비규정) 관련-시기준</t>
    <phoneticPr fontId="4" type="noConversion"/>
  </si>
  <si>
    <t xml:space="preserve"> 관내 : 출장여비(자차 4시간-2만/관용 4시간-1만원), 관외 : 일비+식비+숙박비(85,000원)</t>
    <phoneticPr fontId="4" type="noConversion"/>
  </si>
  <si>
    <t>기본액(30명기준)</t>
    <phoneticPr fontId="4" type="noConversion"/>
  </si>
  <si>
    <t>월</t>
    <phoneticPr fontId="4" type="noConversion"/>
  </si>
  <si>
    <t>추가금액</t>
    <phoneticPr fontId="4" type="noConversion"/>
  </si>
  <si>
    <t>추가명</t>
    <phoneticPr fontId="4" type="noConversion"/>
  </si>
  <si>
    <t xml:space="preserve">  부서업무비 : 30인 이하(350천원),1명추가시(5,000천원/월)</t>
    <phoneticPr fontId="4" type="noConversion"/>
  </si>
  <si>
    <t>○ 요소수 : '24 계약단가(550원), 일평균사용량(313kg) -'24년 견적가(520원)</t>
    <phoneticPr fontId="4" type="noConversion"/>
  </si>
  <si>
    <t>○ 소석회슬러리 : '24 계약단가(63.79원), 일평균사용량(5,625kg) -'24년 견적가(81.4원)</t>
    <phoneticPr fontId="4" type="noConversion"/>
  </si>
  <si>
    <t>○ 활성탄 : '24 계약단가(2,416원), 일평균사용량(63kg) -'24년 견적가(2,850원)</t>
    <phoneticPr fontId="4" type="noConversion"/>
  </si>
  <si>
    <t>○ 탈취제 : '24 계약단가(2,554원), 일평균사용량(6L) -'24년 견적가(2,500원)</t>
    <phoneticPr fontId="4" type="noConversion"/>
  </si>
  <si>
    <t>○ 청관제 : '24 계약단가(2,980원), 일평균사용량(3.5kg) -'24년 견적가(4,000원)</t>
    <phoneticPr fontId="4" type="noConversion"/>
  </si>
  <si>
    <t>○ 탈산제 : '24 계약단가(3,091원), 일평균사용량((3.5kg) -'24년 견적가4,100원)</t>
    <phoneticPr fontId="4" type="noConversion"/>
  </si>
  <si>
    <t>○ 부식방지제 : '24 계약단가(4,416원), 일평균사용량(1L) -'24년 견적가(5,000원)</t>
  </si>
  <si>
    <t>○ 킬레이트 : '24 계약단가(1,914원), 일평균사용량(168L) -'24년 견적가(1,760원)</t>
    <phoneticPr fontId="4" type="noConversion"/>
  </si>
  <si>
    <t>○ 암모니아수 : '24 계약단가(386원), 일평균사용량(188L) -'24년 견적가(470원)</t>
    <phoneticPr fontId="4" type="noConversion"/>
  </si>
  <si>
    <t>○ 가성소다 : '24 계약단가(145원), 일평균사용량(56L) -'24년 견적가(188원)</t>
    <phoneticPr fontId="4" type="noConversion"/>
  </si>
  <si>
    <t>○ 응집제 : '24 계약단가(2,525원), 일평균사용량(110kg) -'24년 견적가(4,092원)</t>
    <phoneticPr fontId="4" type="noConversion"/>
  </si>
  <si>
    <t>○ 소포제 : '24 계약단가(2,721원), 일평균사용량(8.3kg) -'24년 견적가(3,125원)</t>
    <phoneticPr fontId="4" type="noConversion"/>
  </si>
  <si>
    <t>○ 황산 : '24 계약단가(220원), 일평균사용량(56L) -'24년 견적가(275원)</t>
    <phoneticPr fontId="4" type="noConversion"/>
  </si>
  <si>
    <t>○ 구연산 : '24년 계약단가(2,099원), 일평균사용량(14kg) -'24년 견적가(2,500원)</t>
    <phoneticPr fontId="4" type="noConversion"/>
  </si>
  <si>
    <t>○ 차염 : '24년 계약단가(583원), 일평균사용량(42L) -'24년 견적가(688원)</t>
    <phoneticPr fontId="4" type="noConversion"/>
  </si>
  <si>
    <t>○ 운영 시 Test 약품 (염화제2철 등), 일평균사용량(12kg)예상 -'24년 견적가(375원)</t>
  </si>
  <si>
    <t xml:space="preserve">○ 실험 분석키트 : T-N, COD 등 6종 및 소모자재 : 비커, 피펫 등  </t>
    <phoneticPr fontId="4" type="noConversion"/>
  </si>
  <si>
    <t>○ 보수 및 운영비</t>
    <phoneticPr fontId="4" type="noConversion"/>
  </si>
  <si>
    <t xml:space="preserve">  소각시설 설치 운영지침 해설서(201210최종본) : 유지관리비 산출내역 참조</t>
    <phoneticPr fontId="4" type="noConversion"/>
  </si>
  <si>
    <t xml:space="preserve">  바이오시설 총 공사비 : 6,613,000천원</t>
    <phoneticPr fontId="4" type="noConversion"/>
  </si>
  <si>
    <t xml:space="preserve"> ○ 화격자 내구 연한 (3~4년), 前 교체일 : '20.11.23 , 22종(515EA)</t>
    <phoneticPr fontId="77" type="noConversion"/>
  </si>
  <si>
    <t xml:space="preserve"> ○ 촉매 내구 연한 (3~4년), 최초 설치일 : '21.12.20 , 보증시간 : 24,000hr(약 3년)</t>
    <phoneticPr fontId="77" type="noConversion"/>
  </si>
  <si>
    <t>○ 사업장폐기물 운반(소각재, 안정화물, 오니)</t>
    <phoneticPr fontId="77" type="noConversion"/>
  </si>
  <si>
    <t xml:space="preserve">  보일러 용수 : 년간 계약단가(1,650원), 사용량(5,500톤/월) </t>
    <phoneticPr fontId="4" type="noConversion"/>
  </si>
  <si>
    <t xml:space="preserve">  공업용수 : 년간 계약단가(404원), 사용량(6,000톤/월) </t>
    <phoneticPr fontId="4" type="noConversion"/>
  </si>
  <si>
    <t>○ 전기요금 : '24년도 평균단가(136.8원/kwh), '24.5월 사용량(379,215kwh)</t>
    <phoneticPr fontId="4" type="noConversion"/>
  </si>
  <si>
    <t xml:space="preserve"> '24.7월 전남지역 경유단가 : 1,549원 -  정기유지보수 : 2회(상반기/4월, 하반기/10월)</t>
    <phoneticPr fontId="4" type="noConversion"/>
  </si>
  <si>
    <t xml:space="preserve">   시설이상 관련 비상정지 : 2회('23 ~ '24.6 : 없음)</t>
    <phoneticPr fontId="4" type="noConversion"/>
  </si>
  <si>
    <t xml:space="preserve">  비상발전기용 경유 구입</t>
    <phoneticPr fontId="4" type="noConversion"/>
  </si>
  <si>
    <t xml:space="preserve">  기타 난방용(보조 보일러), 예초 휘발유 구입</t>
    <phoneticPr fontId="4" type="noConversion"/>
  </si>
  <si>
    <t>24년 통합환경 조건부 허가 : 수질오염물질(T-N)  배출허용기준(120㎎/L) 준수 '25.12.31.한)</t>
    <phoneticPr fontId="77" type="noConversion"/>
  </si>
  <si>
    <t xml:space="preserve">  총질소 저감시설 설계용역비</t>
    <phoneticPr fontId="77" type="noConversion"/>
  </si>
  <si>
    <t>○ 소각시설 보일러 급수펌프 운영(3기) 중 1기 신규 교체 : 최종교체일(21. 4., 1기)</t>
    <phoneticPr fontId="4" type="noConversion"/>
  </si>
  <si>
    <t>○ 의자 수량 : 사무실(11EA), 제어실(소각 : 2EA, 바이오 : 2EA)</t>
    <phoneticPr fontId="4" type="noConversion"/>
  </si>
  <si>
    <t>○ 보조의자 수량 : 사무실(5 EA), 제어실(소각 : 15EA)</t>
    <phoneticPr fontId="4" type="noConversion"/>
  </si>
  <si>
    <t xml:space="preserve">   - 전기안전관리자 직무고시 안전진단 정밀(연차) 점검: 10,000,000원 * 1회 * 50%(상반기)</t>
    <phoneticPr fontId="4" type="noConversion"/>
  </si>
  <si>
    <t>4.  자  금  운  영  계  획</t>
    <phoneticPr fontId="4" type="noConversion"/>
  </si>
  <si>
    <t>○ 자금운영계획</t>
    <phoneticPr fontId="4" type="noConversion"/>
  </si>
  <si>
    <t>가.수입자금</t>
    <phoneticPr fontId="4" type="noConversion"/>
  </si>
  <si>
    <t>구분</t>
  </si>
  <si>
    <t>당년도 예산
(A)</t>
    <phoneticPr fontId="4" type="noConversion"/>
  </si>
  <si>
    <t>전년도 예산
(B)</t>
    <phoneticPr fontId="4" type="noConversion"/>
  </si>
  <si>
    <t>증 감
(A-B)</t>
    <phoneticPr fontId="4" type="noConversion"/>
  </si>
  <si>
    <t>(단위: 천 원)</t>
    <phoneticPr fontId="3" type="noConversion"/>
  </si>
  <si>
    <t>수입자금</t>
    <phoneticPr fontId="4" type="noConversion"/>
  </si>
  <si>
    <t>계</t>
    <phoneticPr fontId="4" type="noConversion"/>
  </si>
  <si>
    <t>임대사업수익</t>
    <phoneticPr fontId="4" type="noConversion"/>
  </si>
  <si>
    <t>대행사업수익</t>
    <phoneticPr fontId="4" type="noConversion"/>
  </si>
  <si>
    <t>이자수익</t>
  </si>
  <si>
    <t>기타영업외수익</t>
  </si>
  <si>
    <t>비유동자산처분수입</t>
    <phoneticPr fontId="4" type="noConversion"/>
  </si>
  <si>
    <t>전년이월금</t>
    <phoneticPr fontId="4" type="noConversion"/>
  </si>
  <si>
    <t>사 고 이 월 금</t>
    <phoneticPr fontId="4" type="noConversion"/>
  </si>
  <si>
    <t>나. 지출자금</t>
    <phoneticPr fontId="4" type="noConversion"/>
  </si>
  <si>
    <t>구   분</t>
    <phoneticPr fontId="4" type="noConversion"/>
  </si>
  <si>
    <t xml:space="preserve">     (단위: 천 원)</t>
    <phoneticPr fontId="4" type="noConversion"/>
  </si>
  <si>
    <t>지출자금</t>
    <phoneticPr fontId="4" type="noConversion"/>
  </si>
  <si>
    <t>정책사업 총계</t>
    <phoneticPr fontId="4" type="noConversion"/>
  </si>
  <si>
    <t>교통휴양 대행사업</t>
    <phoneticPr fontId="4" type="noConversion"/>
  </si>
  <si>
    <r>
      <t>생활폐기물 수집운반</t>
    </r>
    <r>
      <rPr>
        <sz val="10"/>
        <rFont val="맑은 고딕"/>
        <family val="3"/>
        <charset val="129"/>
      </rPr>
      <t>∙</t>
    </r>
    <r>
      <rPr>
        <sz val="10"/>
        <rFont val="굴림"/>
        <family val="3"/>
        <charset val="129"/>
      </rPr>
      <t>가로청소 수탁 대행사업</t>
    </r>
    <phoneticPr fontId="4" type="noConversion"/>
  </si>
  <si>
    <t>영업외활동</t>
    <phoneticPr fontId="4" type="noConversion"/>
  </si>
  <si>
    <t>무형자산및기타비유동자산취득</t>
    <phoneticPr fontId="4" type="noConversion"/>
  </si>
  <si>
    <t>선수금상환</t>
    <phoneticPr fontId="4" type="noConversion"/>
  </si>
  <si>
    <t>자본예비비</t>
    <phoneticPr fontId="4" type="noConversion"/>
  </si>
  <si>
    <t>사고이월금</t>
    <phoneticPr fontId="4" type="noConversion"/>
  </si>
  <si>
    <t>공공요금 및 제세</t>
    <phoneticPr fontId="4" type="noConversion"/>
  </si>
  <si>
    <t>21  공공요금 및 제세</t>
    <phoneticPr fontId="3" type="noConversion"/>
  </si>
  <si>
    <t>차량·선박비</t>
    <phoneticPr fontId="4" type="noConversion"/>
  </si>
  <si>
    <r>
      <t xml:space="preserve">21 </t>
    </r>
    <r>
      <rPr>
        <sz val="10"/>
        <color indexed="8"/>
        <rFont val="굴림"/>
        <family val="3"/>
        <charset val="129"/>
      </rPr>
      <t>공공요금 및 제세</t>
    </r>
    <phoneticPr fontId="4" type="noConversion"/>
  </si>
  <si>
    <t>22 차량·선박비</t>
    <phoneticPr fontId="3" type="noConversion"/>
  </si>
  <si>
    <t>○ 수탁자산취득비(웅천국민체육센터)</t>
    <phoneticPr fontId="4" type="noConversion"/>
  </si>
  <si>
    <t>시설비 및 부대비</t>
    <phoneticPr fontId="4" type="noConversion"/>
  </si>
  <si>
    <t>도시형 폐기물 처리시설 기계장치 설치공사(기계장치)</t>
    <phoneticPr fontId="4" type="noConversion"/>
  </si>
  <si>
    <t>2025년  12월    일</t>
    <phoneticPr fontId="4" type="noConversion"/>
  </si>
  <si>
    <t>명</t>
    <phoneticPr fontId="3" type="noConversion"/>
  </si>
  <si>
    <t>2025. 12.</t>
    <phoneticPr fontId="4" type="noConversion"/>
  </si>
  <si>
    <t>2025년도 지출예산 사고이월 사업조서</t>
    <phoneticPr fontId="39" type="noConversion"/>
  </si>
  <si>
    <t>부      장    김  종  구  (인)</t>
    <phoneticPr fontId="39" type="noConversion"/>
  </si>
  <si>
    <t>담      당    류  진  욱  (인)</t>
    <phoneticPr fontId="39" type="noConversion"/>
  </si>
  <si>
    <r>
      <t xml:space="preserve">(단위 </t>
    </r>
    <r>
      <rPr>
        <sz val="11"/>
        <color theme="1"/>
        <rFont val="맑은 고딕"/>
        <family val="2"/>
        <charset val="129"/>
        <scheme val="minor"/>
      </rPr>
      <t>: 원)</t>
    </r>
    <phoneticPr fontId="39" type="noConversion"/>
  </si>
  <si>
    <t>사    업    명</t>
    <phoneticPr fontId="4" type="noConversion"/>
  </si>
  <si>
    <t>예 산 액
(A)</t>
    <phoneticPr fontId="39" type="noConversion"/>
  </si>
  <si>
    <t>지출원인
행 위 액
(B)</t>
    <phoneticPr fontId="39" type="noConversion"/>
  </si>
  <si>
    <t>지출(예정)액
(C )</t>
    <phoneticPr fontId="39" type="noConversion"/>
  </si>
  <si>
    <t>지출잔액
(A-C)</t>
    <phoneticPr fontId="39" type="noConversion"/>
  </si>
  <si>
    <t>이월액
(D)</t>
    <phoneticPr fontId="39" type="noConversion"/>
  </si>
  <si>
    <t>불용액
(A-C-D)</t>
    <phoneticPr fontId="39" type="noConversion"/>
  </si>
  <si>
    <t>이월사유
(예산성립시기)</t>
    <phoneticPr fontId="4" type="noConversion"/>
  </si>
  <si>
    <t>정책</t>
    <phoneticPr fontId="4" type="noConversion"/>
  </si>
  <si>
    <t>세부</t>
    <phoneticPr fontId="4" type="noConversion"/>
  </si>
  <si>
    <t>목/세목</t>
    <phoneticPr fontId="4" type="noConversion"/>
  </si>
  <si>
    <t>계</t>
    <phoneticPr fontId="39" type="noConversion"/>
  </si>
  <si>
    <t>사업예산</t>
    <phoneticPr fontId="39" type="noConversion"/>
  </si>
  <si>
    <t>행정운영활동</t>
    <phoneticPr fontId="39" type="noConversion"/>
  </si>
  <si>
    <t>일반행정운영 관리</t>
    <phoneticPr fontId="39" type="noConversion"/>
  </si>
  <si>
    <t>행정운영</t>
    <phoneticPr fontId="39" type="noConversion"/>
  </si>
  <si>
    <t>201 일반운영비</t>
    <phoneticPr fontId="39" type="noConversion"/>
  </si>
  <si>
    <t>11 지급수수료</t>
    <phoneticPr fontId="39" type="noConversion"/>
  </si>
  <si>
    <t>직원 채용 위탁수수료</t>
    <phoneticPr fontId="39" type="noConversion"/>
  </si>
  <si>
    <t>○ 제3회 직원 채용 사업수행기간(2025. 12. ~ 2026. 2.)이 회계연도를 넘어 진행 예정
  - 계약 체결 및 대행업무는 2025년 시작, 채용절차는 2026년 종료될 예정</t>
    <phoneticPr fontId="39" type="noConversion"/>
  </si>
  <si>
    <t>체육시설 대행사업</t>
    <phoneticPr fontId="39" type="noConversion"/>
  </si>
  <si>
    <t>웅천국민체육센터 수탁 대행사업</t>
    <phoneticPr fontId="39" type="noConversion"/>
  </si>
  <si>
    <t>웅천국민체육센터 운영 및 관리</t>
    <phoneticPr fontId="39" type="noConversion"/>
  </si>
  <si>
    <t>03 행사운영비</t>
    <phoneticPr fontId="39" type="noConversion"/>
  </si>
  <si>
    <t>체육센터 개장식</t>
    <phoneticPr fontId="39" type="noConversion"/>
  </si>
  <si>
    <t>○ 이용자 편의 및 효율 향상을 위한 여수시 주관 시설 보완공사 추가로 개관식 일정 
    지연(보완공사 준공일자: 12. 12.)</t>
    <phoneticPr fontId="39" type="noConversion"/>
  </si>
  <si>
    <t>자본예산</t>
    <phoneticPr fontId="39" type="noConversion"/>
  </si>
  <si>
    <t>환경대행사업</t>
    <phoneticPr fontId="39" type="noConversion"/>
  </si>
  <si>
    <t>도시형 폐기물 처리시설 수탁 대행사업</t>
    <phoneticPr fontId="39" type="noConversion"/>
  </si>
  <si>
    <t>총질소(T-N) 저감시설 설치공사(기계장치)</t>
    <phoneticPr fontId="39" type="noConversion"/>
  </si>
  <si>
    <t>401 시설비 및 부대비</t>
    <phoneticPr fontId="39" type="noConversion"/>
  </si>
  <si>
    <t>01 시설비</t>
    <phoneticPr fontId="39" type="noConversion"/>
  </si>
  <si>
    <t>여수시도시형폐기물종합처리시설 
총질소 저감시설 실시설계 용역</t>
    <phoneticPr fontId="39" type="noConversion"/>
  </si>
  <si>
    <t>○ 기술제안 공모로 선정된 기술제안 도서 검토 결과 PSM 문제가 발견되어 재설계 
    기간 필요( 완료 예정일: 2026. 1. 15.)</t>
    <phoneticPr fontId="39" type="noConversion"/>
  </si>
  <si>
    <t xml:space="preserve">  ○ 신용카드 결제대행 수수료: 1,592,000원 * 12월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</si>
</sst>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#,##0;[Red]&quot;△&quot;#,##0;0"/>
    <numFmt numFmtId="178" formatCode="#,##0;[Red]&quot;△&quot;#,##0"/>
    <numFmt numFmtId="179" formatCode="#,##0;&quot;△&quot;#,##0"/>
    <numFmt numFmtId="180" formatCode="#,##0_ ;[Red]\-#,##0\ "/>
    <numFmt numFmtId="181" formatCode="000\-000"/>
    <numFmt numFmtId="182" formatCode="#,##0_ "/>
    <numFmt numFmtId="183" formatCode="_-* #,##0.0_-;\-* #,##0.0_-;_-* &quot;-&quot;_-;_-@_-"/>
    <numFmt numFmtId="184" formatCode="_-* #,##0.00_-;\-* #,##0.00_-;_-* &quot;-&quot;_-;_-@_-"/>
    <numFmt numFmtId="185" formatCode="_-* #,##0_-;\-* #,##0_-;_-* &quot;-&quot;??_-;_-@_-"/>
    <numFmt numFmtId="186" formatCode="_-* #,##0.0_-;\-* #,##0.0_-;_-* &quot;-&quot;?_-;_-@_-"/>
    <numFmt numFmtId="187" formatCode="#,##0.00_ ;[Red]\-#,##0.00\ "/>
    <numFmt numFmtId="188" formatCode="#,##0.00_);[Red]\(#,##0.00\)"/>
    <numFmt numFmtId="189" formatCode="#,##0.0000_);[Red]\(#,##0.0000\)"/>
    <numFmt numFmtId="190" formatCode="#,##0.0_ ;[Red]\-#,##0.0\ "/>
    <numFmt numFmtId="191" formatCode="_-* #,##0.000_-;\-* #,##0.000_-;_-* &quot;-&quot;?_-;_-@_-"/>
    <numFmt numFmtId="192" formatCode="#,##0.000_);[Red]\(#,##0.000\)"/>
    <numFmt numFmtId="193" formatCode="#,##0;[Red]&quot;△&quot;#,##0;\-"/>
  </numFmts>
  <fonts count="109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name val="HY궁서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24"/>
      <name val="HY궁서"/>
      <family val="1"/>
      <charset val="129"/>
    </font>
    <font>
      <sz val="11"/>
      <name val="HY궁서"/>
      <family val="1"/>
      <charset val="129"/>
    </font>
    <font>
      <sz val="14"/>
      <name val="HY궁서"/>
      <family val="1"/>
      <charset val="129"/>
    </font>
    <font>
      <b/>
      <sz val="36"/>
      <name val="맑은 고딕"/>
      <family val="1"/>
      <charset val="129"/>
    </font>
    <font>
      <b/>
      <sz val="36"/>
      <name val="한양해서"/>
      <family val="1"/>
      <charset val="129"/>
    </font>
    <font>
      <b/>
      <sz val="43"/>
      <name val="맑은 고딕"/>
      <family val="3"/>
      <charset val="129"/>
    </font>
    <font>
      <sz val="24"/>
      <name val="HY궁서"/>
      <family val="1"/>
      <charset val="129"/>
    </font>
    <font>
      <b/>
      <sz val="18"/>
      <name val="HY궁서"/>
      <family val="1"/>
      <charset val="129"/>
    </font>
    <font>
      <sz val="20"/>
      <name val="HY궁서"/>
      <family val="1"/>
      <charset val="129"/>
    </font>
    <font>
      <b/>
      <sz val="28"/>
      <name val="HY궁서"/>
      <family val="1"/>
      <charset val="129"/>
    </font>
    <font>
      <b/>
      <sz val="24"/>
      <name val="HY신명조"/>
      <family val="1"/>
      <charset val="129"/>
    </font>
    <font>
      <sz val="12"/>
      <name val="HY신명조"/>
      <family val="1"/>
      <charset val="129"/>
    </font>
    <font>
      <b/>
      <sz val="14"/>
      <name val="HY신명조"/>
      <family val="1"/>
      <charset val="129"/>
    </font>
    <font>
      <b/>
      <sz val="36"/>
      <name val="바탕"/>
      <family val="1"/>
      <charset val="129"/>
    </font>
    <font>
      <sz val="36"/>
      <name val="HY궁서"/>
      <family val="1"/>
      <charset val="129"/>
    </font>
    <font>
      <b/>
      <sz val="36"/>
      <name val="HY궁서"/>
      <family val="1"/>
      <charset val="129"/>
    </font>
    <font>
      <b/>
      <sz val="11"/>
      <color theme="1"/>
      <name val="맑은 고딕"/>
      <family val="3"/>
      <charset val="129"/>
      <scheme val="minor"/>
    </font>
    <font>
      <b/>
      <sz val="24"/>
      <color theme="1"/>
      <name val="굴림"/>
      <family val="3"/>
      <charset val="129"/>
    </font>
    <font>
      <b/>
      <sz val="11"/>
      <name val="굴림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name val="굴림"/>
      <family val="3"/>
      <charset val="129"/>
    </font>
    <font>
      <b/>
      <sz val="11"/>
      <name val="HY궁서"/>
      <family val="1"/>
      <charset val="129"/>
    </font>
    <font>
      <sz val="14"/>
      <name val="굴림"/>
      <family val="3"/>
      <charset val="129"/>
    </font>
    <font>
      <b/>
      <sz val="16"/>
      <name val="굴림"/>
      <family val="3"/>
      <charset val="129"/>
    </font>
    <font>
      <b/>
      <sz val="12"/>
      <name val="굴림"/>
      <family val="3"/>
      <charset val="129"/>
    </font>
    <font>
      <sz val="12"/>
      <name val="굴림"/>
      <family val="3"/>
      <charset val="129"/>
    </font>
    <font>
      <b/>
      <sz val="20"/>
      <name val="굴림"/>
      <family val="3"/>
      <charset val="129"/>
    </font>
    <font>
      <b/>
      <sz val="11"/>
      <color rgb="FF0408BC"/>
      <name val="굴림"/>
      <family val="3"/>
      <charset val="129"/>
    </font>
    <font>
      <b/>
      <sz val="11"/>
      <name val="돋움"/>
      <family val="3"/>
      <charset val="129"/>
    </font>
    <font>
      <sz val="12"/>
      <color rgb="FF0000FF"/>
      <name val="굴림"/>
      <family val="3"/>
      <charset val="129"/>
    </font>
    <font>
      <sz val="12"/>
      <color rgb="FF0408BC"/>
      <name val="굴림"/>
      <family val="3"/>
      <charset val="129"/>
    </font>
    <font>
      <sz val="9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8"/>
      <name val="굴림"/>
      <family val="3"/>
      <charset val="129"/>
    </font>
    <font>
      <sz val="10"/>
      <color rgb="FF0070C0"/>
      <name val="굴림"/>
      <family val="3"/>
      <charset val="129"/>
    </font>
    <font>
      <sz val="10"/>
      <name val="맑은 고딕"/>
      <family val="3"/>
      <charset val="129"/>
    </font>
    <font>
      <sz val="10"/>
      <color rgb="FF000000"/>
      <name val="굴림"/>
      <family val="3"/>
      <charset val="129"/>
    </font>
    <font>
      <b/>
      <sz val="1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돋움"/>
      <family val="3"/>
      <charset val="129"/>
    </font>
    <font>
      <b/>
      <sz val="11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9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theme="1"/>
      <name val="굴림"/>
      <family val="3"/>
      <charset val="129"/>
    </font>
    <font>
      <sz val="10"/>
      <color rgb="FF000000"/>
      <name val="Gulim"/>
      <family val="3"/>
      <charset val="129"/>
    </font>
    <font>
      <b/>
      <sz val="9"/>
      <color rgb="FFFF0000"/>
      <name val="굴림"/>
      <family val="3"/>
      <charset val="129"/>
    </font>
    <font>
      <sz val="10"/>
      <color rgb="FFFF0000"/>
      <name val="굴림"/>
      <family val="3"/>
      <charset val="129"/>
    </font>
    <font>
      <sz val="10"/>
      <color indexed="64"/>
      <name val="굴림"/>
      <family val="3"/>
      <charset val="129"/>
    </font>
    <font>
      <sz val="8"/>
      <color indexed="64"/>
      <name val="굴림"/>
      <family val="3"/>
      <charset val="129"/>
    </font>
    <font>
      <sz val="10"/>
      <color theme="1"/>
      <name val="굴림"/>
      <family val="2"/>
      <charset val="129"/>
    </font>
    <font>
      <sz val="10"/>
      <color theme="1"/>
      <name val="Calibri"/>
      <family val="2"/>
    </font>
    <font>
      <sz val="10"/>
      <color theme="1"/>
      <name val="Gulim"/>
      <family val="3"/>
      <charset val="129"/>
    </font>
    <font>
      <sz val="8"/>
      <name val="맑은 고딕"/>
      <family val="3"/>
      <charset val="129"/>
      <scheme val="minor"/>
    </font>
    <font>
      <b/>
      <sz val="10"/>
      <color theme="1"/>
      <name val="Gulim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rgb="FFFF0000"/>
      <name val="굴림"/>
      <family val="3"/>
      <charset val="129"/>
    </font>
    <font>
      <b/>
      <u/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11"/>
      <color rgb="FF000000"/>
      <name val="굴림"/>
      <family val="3"/>
      <charset val="129"/>
    </font>
    <font>
      <sz val="11"/>
      <color rgb="FF000000"/>
      <name val="Arial"/>
      <family val="2"/>
    </font>
    <font>
      <sz val="11"/>
      <color rgb="FFFF0000"/>
      <name val="굴림"/>
      <family val="3"/>
      <charset val="129"/>
    </font>
    <font>
      <sz val="10"/>
      <color rgb="FFFF0000"/>
      <name val="맑은 고딕"/>
      <family val="3"/>
      <charset val="129"/>
    </font>
    <font>
      <b/>
      <sz val="11"/>
      <color indexed="64"/>
      <name val="굴림"/>
      <family val="3"/>
      <charset val="129"/>
    </font>
    <font>
      <b/>
      <sz val="10"/>
      <color indexed="64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indexed="64"/>
      <name val="Arial Narrow"/>
      <family val="2"/>
    </font>
    <font>
      <sz val="11"/>
      <color indexed="64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name val="맑은 고딕"/>
      <family val="3"/>
      <charset val="129"/>
    </font>
    <font>
      <b/>
      <sz val="10"/>
      <color rgb="FF0000FF"/>
      <name val="굴림"/>
      <family val="3"/>
      <charset val="129"/>
    </font>
    <font>
      <sz val="10"/>
      <color rgb="FF0000FF"/>
      <name val="굴림"/>
      <family val="3"/>
      <charset val="129"/>
    </font>
    <font>
      <sz val="10"/>
      <color rgb="FF00B050"/>
      <name val="굴림"/>
      <family val="3"/>
      <charset val="129"/>
    </font>
    <font>
      <sz val="9"/>
      <color indexed="64"/>
      <name val="굴림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9"/>
      <color rgb="FF000000"/>
      <name val="Tahoma"/>
      <family val="2"/>
    </font>
    <font>
      <b/>
      <sz val="9"/>
      <color rgb="FF000000"/>
      <name val="돋움"/>
      <family val="3"/>
      <charset val="129"/>
    </font>
    <font>
      <sz val="10"/>
      <color theme="4"/>
      <name val="굴림"/>
      <family val="3"/>
      <charset val="129"/>
    </font>
    <font>
      <b/>
      <u/>
      <sz val="9"/>
      <color indexed="81"/>
      <name val="돋움"/>
      <family val="3"/>
      <charset val="129"/>
    </font>
    <font>
      <b/>
      <sz val="12"/>
      <name val="돋움체"/>
      <family val="3"/>
      <charset val="129"/>
    </font>
    <font>
      <sz val="12"/>
      <name val="돋움체"/>
      <family val="3"/>
      <charset val="129"/>
    </font>
    <font>
      <sz val="10"/>
      <name val="돋움체"/>
      <family val="3"/>
      <charset val="129"/>
    </font>
    <font>
      <b/>
      <sz val="11"/>
      <color theme="1"/>
      <name val="맑은 고딕"/>
      <family val="2"/>
      <charset val="129"/>
      <scheme val="minor"/>
    </font>
    <font>
      <b/>
      <sz val="12"/>
      <color rgb="FF0070C0"/>
      <name val="굴림"/>
      <family val="3"/>
      <charset val="129"/>
    </font>
    <font>
      <b/>
      <sz val="11"/>
      <color rgb="FF0070C0"/>
      <name val="맑은 고딕"/>
      <family val="2"/>
      <charset val="129"/>
      <scheme val="minor"/>
    </font>
    <font>
      <b/>
      <sz val="10"/>
      <color rgb="FF0070C0"/>
      <name val="굴림"/>
      <family val="3"/>
      <charset val="129"/>
    </font>
    <font>
      <b/>
      <sz val="30"/>
      <name val="HY견명조"/>
      <family val="1"/>
      <charset val="129"/>
    </font>
    <font>
      <b/>
      <sz val="35"/>
      <name val="굴림"/>
      <family val="3"/>
      <charset val="129"/>
    </font>
    <font>
      <b/>
      <sz val="14"/>
      <name val="굴림"/>
      <family val="3"/>
      <charset val="129"/>
    </font>
    <font>
      <sz val="20"/>
      <name val="굴림"/>
      <family val="3"/>
      <charset val="129"/>
    </font>
    <font>
      <b/>
      <sz val="17"/>
      <name val="굴림"/>
      <family val="3"/>
      <charset val="129"/>
    </font>
    <font>
      <sz val="12"/>
      <name val="Arial Narrow"/>
      <family val="2"/>
    </font>
    <font>
      <sz val="13"/>
      <name val="HY울릉도M"/>
      <family val="1"/>
      <charset val="129"/>
    </font>
    <font>
      <b/>
      <sz val="15"/>
      <name val="굴림"/>
      <family val="3"/>
      <charset val="129"/>
    </font>
    <font>
      <b/>
      <sz val="13"/>
      <name val="Arial Narrow"/>
      <family val="2"/>
    </font>
    <font>
      <sz val="13"/>
      <name val="Arial Narrow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A7F7A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CE4D6"/>
        <bgColor rgb="FF000000"/>
      </patternFill>
    </fill>
  </fills>
  <borders count="2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hair">
        <color auto="1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rgb="FFA6A6A6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theme="0" tint="-0.499984740745262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theme="0" tint="-0.499984740745262"/>
      </bottom>
      <diagonal/>
    </border>
    <border>
      <left style="medium">
        <color indexed="64"/>
      </left>
      <right style="hair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indexed="64"/>
      </left>
      <right style="hair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indexed="64"/>
      </left>
      <right style="medium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medium">
        <color indexed="64"/>
      </left>
      <right style="hair">
        <color indexed="64"/>
      </right>
      <top style="hair">
        <color theme="0" tint="-0.49998474074526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theme="0" tint="-0.499984740745262"/>
      </top>
      <bottom style="medium">
        <color indexed="64"/>
      </bottom>
      <diagonal/>
    </border>
    <border>
      <left style="hair">
        <color indexed="64"/>
      </left>
      <right/>
      <top style="hair">
        <color theme="0" tint="-0.499984740745262"/>
      </top>
      <bottom style="medium">
        <color indexed="64"/>
      </bottom>
      <diagonal/>
    </border>
    <border>
      <left/>
      <right/>
      <top style="hair">
        <color theme="0" tint="-0.499984740745262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theme="0" tint="-0.499984740745262"/>
      </top>
      <bottom style="medium">
        <color indexed="64"/>
      </bottom>
      <diagonal/>
    </border>
  </borders>
  <cellStyleXfs count="24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44" fillId="0" borderId="0">
      <alignment vertical="center"/>
    </xf>
    <xf numFmtId="0" fontId="48" fillId="0" borderId="0"/>
    <xf numFmtId="41" fontId="48" fillId="0" borderId="0"/>
    <xf numFmtId="0" fontId="44" fillId="0" borderId="0">
      <alignment vertical="center"/>
    </xf>
    <xf numFmtId="0" fontId="1" fillId="0" borderId="0"/>
    <xf numFmtId="41" fontId="44" fillId="0" borderId="0">
      <alignment vertical="center"/>
    </xf>
    <xf numFmtId="41" fontId="1" fillId="0" borderId="0" applyFont="0" applyFill="0" applyBorder="0" applyAlignment="0" applyProtection="0"/>
    <xf numFmtId="0" fontId="76" fillId="0" borderId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8" fillId="0" borderId="0"/>
    <xf numFmtId="41" fontId="48" fillId="0" borderId="0"/>
    <xf numFmtId="41" fontId="48" fillId="0" borderId="0"/>
    <xf numFmtId="0" fontId="48" fillId="0" borderId="0"/>
    <xf numFmtId="0" fontId="44" fillId="0" borderId="0">
      <alignment vertical="center"/>
    </xf>
    <xf numFmtId="0" fontId="44" fillId="0" borderId="0">
      <alignment vertical="center"/>
    </xf>
    <xf numFmtId="0" fontId="30" fillId="0" borderId="0"/>
    <xf numFmtId="41" fontId="30" fillId="0" borderId="0" applyFont="0" applyFill="0" applyBorder="0" applyAlignment="0" applyProtection="0"/>
  </cellStyleXfs>
  <cellXfs count="2495">
    <xf numFmtId="0" fontId="0" fillId="0" borderId="0" xfId="0">
      <alignment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/>
    <xf numFmtId="0" fontId="7" fillId="0" borderId="0" xfId="1" applyFont="1" applyAlignment="1">
      <alignment horizontal="right"/>
    </xf>
    <xf numFmtId="0" fontId="11" fillId="0" borderId="0" xfId="1" applyFont="1"/>
    <xf numFmtId="0" fontId="1" fillId="0" borderId="0" xfId="1"/>
    <xf numFmtId="0" fontId="16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0" fontId="1" fillId="0" borderId="0" xfId="1" applyAlignment="1">
      <alignment vertical="center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8" fillId="0" borderId="0" xfId="1" applyFont="1"/>
    <xf numFmtId="0" fontId="16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20" fillId="0" borderId="0" xfId="1" applyFont="1"/>
    <xf numFmtId="0" fontId="0" fillId="0" borderId="0" xfId="0" applyAlignment="1">
      <alignment horizontal="center" vertical="center"/>
    </xf>
    <xf numFmtId="176" fontId="23" fillId="2" borderId="3" xfId="1" applyNumberFormat="1" applyFont="1" applyFill="1" applyBorder="1" applyAlignment="1">
      <alignment horizontal="center" vertical="center"/>
    </xf>
    <xf numFmtId="0" fontId="23" fillId="2" borderId="3" xfId="1" applyFont="1" applyFill="1" applyBorder="1" applyAlignment="1">
      <alignment horizontal="center" vertical="center" wrapText="1"/>
    </xf>
    <xf numFmtId="0" fontId="23" fillId="2" borderId="3" xfId="1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24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0" xfId="0" applyBorder="1">
      <alignment vertical="center"/>
    </xf>
    <xf numFmtId="0" fontId="0" fillId="0" borderId="39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23" fillId="2" borderId="47" xfId="1" applyFont="1" applyFill="1" applyBorder="1" applyAlignment="1">
      <alignment horizontal="center" vertical="center" wrapText="1"/>
    </xf>
    <xf numFmtId="0" fontId="23" fillId="2" borderId="49" xfId="1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0" fillId="0" borderId="35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63" xfId="0" applyBorder="1">
      <alignment vertical="center"/>
    </xf>
    <xf numFmtId="0" fontId="0" fillId="0" borderId="64" xfId="0" applyBorder="1" applyAlignment="1">
      <alignment horizontal="center" vertical="center"/>
    </xf>
    <xf numFmtId="0" fontId="0" fillId="0" borderId="66" xfId="0" applyBorder="1">
      <alignment vertical="center"/>
    </xf>
    <xf numFmtId="0" fontId="0" fillId="0" borderId="67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0" xfId="0" applyBorder="1">
      <alignment vertical="center"/>
    </xf>
    <xf numFmtId="0" fontId="0" fillId="0" borderId="3" xfId="0" applyBorder="1">
      <alignment vertical="center"/>
    </xf>
    <xf numFmtId="177" fontId="0" fillId="0" borderId="35" xfId="0" applyNumberFormat="1" applyBorder="1">
      <alignment vertical="center"/>
    </xf>
    <xf numFmtId="0" fontId="0" fillId="0" borderId="7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24" fillId="0" borderId="73" xfId="0" applyFont="1" applyBorder="1" applyAlignment="1">
      <alignment horizontal="left" vertical="center"/>
    </xf>
    <xf numFmtId="0" fontId="25" fillId="0" borderId="58" xfId="1" applyFont="1" applyBorder="1" applyAlignment="1">
      <alignment horizontal="center" vertical="center"/>
    </xf>
    <xf numFmtId="0" fontId="25" fillId="0" borderId="78" xfId="1" applyFont="1" applyBorder="1" applyAlignment="1">
      <alignment horizontal="center" vertical="center"/>
    </xf>
    <xf numFmtId="176" fontId="0" fillId="0" borderId="35" xfId="0" applyNumberFormat="1" applyBorder="1">
      <alignment vertical="center"/>
    </xf>
    <xf numFmtId="176" fontId="0" fillId="0" borderId="52" xfId="0" applyNumberFormat="1" applyBorder="1">
      <alignment vertical="center"/>
    </xf>
    <xf numFmtId="176" fontId="0" fillId="0" borderId="53" xfId="0" applyNumberFormat="1" applyBorder="1">
      <alignment vertical="center"/>
    </xf>
    <xf numFmtId="176" fontId="0" fillId="0" borderId="63" xfId="0" applyNumberFormat="1" applyBorder="1">
      <alignment vertical="center"/>
    </xf>
    <xf numFmtId="176" fontId="0" fillId="0" borderId="66" xfId="0" applyNumberFormat="1" applyBorder="1">
      <alignment vertical="center"/>
    </xf>
    <xf numFmtId="177" fontId="0" fillId="0" borderId="66" xfId="0" applyNumberFormat="1" applyBorder="1">
      <alignment vertical="center"/>
    </xf>
    <xf numFmtId="177" fontId="0" fillId="0" borderId="63" xfId="0" applyNumberFormat="1" applyBorder="1">
      <alignment vertical="center"/>
    </xf>
    <xf numFmtId="177" fontId="0" fillId="0" borderId="75" xfId="0" applyNumberFormat="1" applyBorder="1">
      <alignment vertical="center"/>
    </xf>
    <xf numFmtId="176" fontId="0" fillId="0" borderId="70" xfId="0" applyNumberFormat="1" applyBorder="1" applyAlignment="1">
      <alignment horizontal="center" vertical="center"/>
    </xf>
    <xf numFmtId="0" fontId="19" fillId="0" borderId="0" xfId="1" applyFont="1"/>
    <xf numFmtId="0" fontId="26" fillId="0" borderId="0" xfId="1" applyFont="1"/>
    <xf numFmtId="0" fontId="25" fillId="0" borderId="0" xfId="1" applyFont="1"/>
    <xf numFmtId="41" fontId="25" fillId="0" borderId="0" xfId="2" applyFont="1"/>
    <xf numFmtId="0" fontId="25" fillId="0" borderId="0" xfId="1" applyFont="1" applyAlignment="1">
      <alignment horizontal="left"/>
    </xf>
    <xf numFmtId="0" fontId="27" fillId="0" borderId="0" xfId="1" applyFont="1"/>
    <xf numFmtId="41" fontId="27" fillId="0" borderId="0" xfId="2" applyFont="1"/>
    <xf numFmtId="0" fontId="25" fillId="0" borderId="0" xfId="1" applyFont="1" applyAlignment="1">
      <alignment vertical="center"/>
    </xf>
    <xf numFmtId="41" fontId="25" fillId="0" borderId="0" xfId="2" applyFont="1" applyAlignment="1">
      <alignment vertical="center"/>
    </xf>
    <xf numFmtId="0" fontId="25" fillId="0" borderId="0" xfId="2" applyNumberFormat="1" applyFont="1" applyAlignment="1">
      <alignment horizontal="right"/>
    </xf>
    <xf numFmtId="0" fontId="25" fillId="2" borderId="18" xfId="1" applyFont="1" applyFill="1" applyBorder="1" applyAlignment="1">
      <alignment horizontal="center" vertical="center"/>
    </xf>
    <xf numFmtId="41" fontId="25" fillId="2" borderId="80" xfId="2" applyFont="1" applyFill="1" applyBorder="1" applyAlignment="1">
      <alignment horizontal="center" vertical="center"/>
    </xf>
    <xf numFmtId="0" fontId="25" fillId="2" borderId="29" xfId="1" applyFont="1" applyFill="1" applyBorder="1" applyAlignment="1">
      <alignment horizontal="center" vertical="center"/>
    </xf>
    <xf numFmtId="41" fontId="25" fillId="2" borderId="81" xfId="2" applyFont="1" applyFill="1" applyBorder="1" applyAlignment="1">
      <alignment horizontal="center" vertical="center"/>
    </xf>
    <xf numFmtId="0" fontId="25" fillId="0" borderId="26" xfId="1" applyFont="1" applyBorder="1" applyAlignment="1">
      <alignment vertical="center"/>
    </xf>
    <xf numFmtId="0" fontId="25" fillId="0" borderId="82" xfId="1" applyFont="1" applyBorder="1" applyAlignment="1">
      <alignment horizontal="center" vertical="center"/>
    </xf>
    <xf numFmtId="0" fontId="0" fillId="0" borderId="82" xfId="0" applyFont="1" applyBorder="1" applyAlignment="1">
      <alignment horizontal="center" vertical="center"/>
    </xf>
    <xf numFmtId="0" fontId="0" fillId="0" borderId="94" xfId="0" applyFont="1" applyBorder="1">
      <alignment vertical="center"/>
    </xf>
    <xf numFmtId="0" fontId="0" fillId="0" borderId="95" xfId="0" applyFont="1" applyBorder="1">
      <alignment vertical="center"/>
    </xf>
    <xf numFmtId="0" fontId="25" fillId="0" borderId="94" xfId="1" applyFont="1" applyBorder="1" applyAlignment="1">
      <alignment vertical="center"/>
    </xf>
    <xf numFmtId="0" fontId="25" fillId="0" borderId="95" xfId="1" applyFont="1" applyBorder="1" applyAlignment="1">
      <alignment vertical="center"/>
    </xf>
    <xf numFmtId="0" fontId="25" fillId="0" borderId="96" xfId="1" applyFont="1" applyBorder="1" applyAlignment="1">
      <alignment vertical="center"/>
    </xf>
    <xf numFmtId="0" fontId="0" fillId="0" borderId="68" xfId="0" applyFont="1" applyBorder="1" applyAlignment="1">
      <alignment horizontal="center" vertical="center"/>
    </xf>
    <xf numFmtId="0" fontId="0" fillId="0" borderId="50" xfId="0" applyFont="1" applyBorder="1">
      <alignment vertical="center"/>
    </xf>
    <xf numFmtId="0" fontId="0" fillId="0" borderId="60" xfId="0" applyFont="1" applyBorder="1">
      <alignment vertical="center"/>
    </xf>
    <xf numFmtId="0" fontId="25" fillId="0" borderId="68" xfId="1" applyFont="1" applyBorder="1" applyAlignment="1">
      <alignment horizontal="center" vertical="center"/>
    </xf>
    <xf numFmtId="0" fontId="25" fillId="0" borderId="50" xfId="1" applyFont="1" applyBorder="1" applyAlignment="1">
      <alignment vertical="center"/>
    </xf>
    <xf numFmtId="0" fontId="25" fillId="0" borderId="60" xfId="1" applyFont="1" applyBorder="1" applyAlignment="1">
      <alignment vertical="center"/>
    </xf>
    <xf numFmtId="0" fontId="0" fillId="0" borderId="102" xfId="0" applyFont="1" applyBorder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30" fillId="0" borderId="10" xfId="1" applyFont="1" applyBorder="1" applyAlignment="1">
      <alignment horizontal="center" vertical="center"/>
    </xf>
    <xf numFmtId="41" fontId="30" fillId="0" borderId="11" xfId="2" applyFont="1" applyBorder="1" applyAlignment="1">
      <alignment horizontal="center" vertical="center"/>
    </xf>
    <xf numFmtId="0" fontId="30" fillId="0" borderId="30" xfId="1" applyFont="1" applyBorder="1" applyAlignment="1">
      <alignment horizontal="center" vertical="center"/>
    </xf>
    <xf numFmtId="41" fontId="30" fillId="0" borderId="111" xfId="2" applyFont="1" applyBorder="1" applyAlignment="1">
      <alignment horizontal="center" vertical="center"/>
    </xf>
    <xf numFmtId="0" fontId="31" fillId="0" borderId="0" xfId="1" applyFont="1"/>
    <xf numFmtId="0" fontId="25" fillId="0" borderId="113" xfId="1" applyFont="1" applyBorder="1"/>
    <xf numFmtId="41" fontId="25" fillId="0" borderId="113" xfId="2" applyFont="1" applyBorder="1" applyAlignment="1"/>
    <xf numFmtId="0" fontId="25" fillId="0" borderId="6" xfId="1" applyFont="1" applyFill="1" applyBorder="1" applyAlignment="1">
      <alignment horizontal="center" vertical="center"/>
    </xf>
    <xf numFmtId="0" fontId="25" fillId="0" borderId="115" xfId="1" applyFont="1" applyBorder="1" applyAlignment="1">
      <alignment horizontal="center" vertical="center"/>
    </xf>
    <xf numFmtId="178" fontId="25" fillId="0" borderId="116" xfId="1" applyNumberFormat="1" applyFont="1" applyBorder="1" applyAlignment="1">
      <alignment vertical="center"/>
    </xf>
    <xf numFmtId="0" fontId="23" fillId="0" borderId="7" xfId="1" applyFont="1" applyBorder="1" applyAlignment="1">
      <alignment horizontal="center" vertical="center"/>
    </xf>
    <xf numFmtId="0" fontId="25" fillId="0" borderId="117" xfId="1" applyFont="1" applyBorder="1" applyAlignment="1">
      <alignment horizontal="center" vertical="center"/>
    </xf>
    <xf numFmtId="0" fontId="25" fillId="0" borderId="26" xfId="1" applyFont="1" applyBorder="1" applyAlignment="1">
      <alignment horizontal="center" vertical="center"/>
    </xf>
    <xf numFmtId="0" fontId="25" fillId="0" borderId="22" xfId="1" applyFont="1" applyBorder="1" applyAlignment="1">
      <alignment horizontal="center" vertical="center"/>
    </xf>
    <xf numFmtId="178" fontId="32" fillId="0" borderId="21" xfId="1" applyNumberFormat="1" applyFont="1" applyBorder="1" applyAlignment="1">
      <alignment horizontal="center" vertical="center"/>
    </xf>
    <xf numFmtId="0" fontId="25" fillId="0" borderId="36" xfId="1" applyFont="1" applyBorder="1" applyAlignment="1">
      <alignment horizontal="center" vertical="center"/>
    </xf>
    <xf numFmtId="41" fontId="23" fillId="0" borderId="101" xfId="2" applyFont="1" applyBorder="1" applyAlignment="1">
      <alignment horizontal="center" vertical="center"/>
    </xf>
    <xf numFmtId="41" fontId="25" fillId="0" borderId="36" xfId="2" applyFont="1" applyBorder="1" applyAlignment="1">
      <alignment horizontal="center" vertical="center"/>
    </xf>
    <xf numFmtId="41" fontId="25" fillId="0" borderId="28" xfId="2" applyFont="1" applyBorder="1" applyAlignment="1">
      <alignment horizontal="center" vertical="center"/>
    </xf>
    <xf numFmtId="178" fontId="32" fillId="0" borderId="21" xfId="2" applyNumberFormat="1" applyFont="1" applyBorder="1" applyAlignment="1">
      <alignment horizontal="center" vertical="center"/>
    </xf>
    <xf numFmtId="0" fontId="0" fillId="0" borderId="113" xfId="0" applyBorder="1">
      <alignment vertical="center"/>
    </xf>
    <xf numFmtId="0" fontId="0" fillId="0" borderId="81" xfId="0" applyBorder="1">
      <alignment vertical="center"/>
    </xf>
    <xf numFmtId="41" fontId="23" fillId="0" borderId="29" xfId="2" applyFont="1" applyBorder="1" applyAlignment="1">
      <alignment horizontal="center" vertical="center"/>
    </xf>
    <xf numFmtId="0" fontId="23" fillId="0" borderId="18" xfId="1" applyFont="1" applyBorder="1" applyAlignment="1">
      <alignment horizontal="center" vertical="center"/>
    </xf>
    <xf numFmtId="0" fontId="0" fillId="0" borderId="124" xfId="0" applyBorder="1">
      <alignment vertical="center"/>
    </xf>
    <xf numFmtId="0" fontId="0" fillId="0" borderId="9" xfId="0" applyBorder="1">
      <alignment vertical="center"/>
    </xf>
    <xf numFmtId="0" fontId="23" fillId="0" borderId="29" xfId="1" applyFont="1" applyBorder="1" applyAlignment="1">
      <alignment horizontal="center" vertical="center"/>
    </xf>
    <xf numFmtId="0" fontId="25" fillId="0" borderId="28" xfId="1" applyFont="1" applyBorder="1" applyAlignment="1">
      <alignment horizontal="center" vertical="center"/>
    </xf>
    <xf numFmtId="0" fontId="23" fillId="0" borderId="101" xfId="1" applyFont="1" applyBorder="1" applyAlignment="1">
      <alignment horizontal="center" vertical="center"/>
    </xf>
    <xf numFmtId="178" fontId="23" fillId="0" borderId="48" xfId="1" applyNumberFormat="1" applyFont="1" applyBorder="1" applyAlignment="1">
      <alignment horizontal="center" vertical="center"/>
    </xf>
    <xf numFmtId="0" fontId="31" fillId="0" borderId="0" xfId="1" applyFont="1" applyAlignment="1">
      <alignment vertical="center"/>
    </xf>
    <xf numFmtId="41" fontId="30" fillId="0" borderId="0" xfId="2" applyFont="1" applyAlignment="1">
      <alignment vertical="center"/>
    </xf>
    <xf numFmtId="0" fontId="30" fillId="0" borderId="0" xfId="1" applyFont="1" applyAlignment="1">
      <alignment vertical="center"/>
    </xf>
    <xf numFmtId="0" fontId="25" fillId="0" borderId="0" xfId="2" applyNumberFormat="1" applyFont="1" applyAlignment="1">
      <alignment horizontal="right" vertical="center"/>
    </xf>
    <xf numFmtId="41" fontId="29" fillId="0" borderId="130" xfId="2" applyFont="1" applyBorder="1" applyAlignment="1">
      <alignment horizontal="center" vertical="center"/>
    </xf>
    <xf numFmtId="41" fontId="29" fillId="0" borderId="88" xfId="2" applyFont="1" applyBorder="1" applyAlignment="1">
      <alignment horizontal="center" vertical="center"/>
    </xf>
    <xf numFmtId="179" fontId="29" fillId="0" borderId="117" xfId="1" applyNumberFormat="1" applyFont="1" applyBorder="1" applyAlignment="1">
      <alignment horizontal="distributed" vertical="center"/>
    </xf>
    <xf numFmtId="179" fontId="34" fillId="0" borderId="67" xfId="1" applyNumberFormat="1" applyFont="1" applyBorder="1" applyAlignment="1">
      <alignment horizontal="center" vertical="center"/>
    </xf>
    <xf numFmtId="179" fontId="30" fillId="0" borderId="26" xfId="1" applyNumberFormat="1" applyFont="1" applyBorder="1" applyAlignment="1">
      <alignment horizontal="distributed" vertical="center"/>
    </xf>
    <xf numFmtId="179" fontId="30" fillId="0" borderId="40" xfId="1" applyNumberFormat="1" applyFont="1" applyBorder="1" applyAlignment="1">
      <alignment horizontal="distributed" vertical="center"/>
    </xf>
    <xf numFmtId="179" fontId="30" fillId="0" borderId="64" xfId="1" applyNumberFormat="1" applyFont="1" applyBorder="1" applyAlignment="1">
      <alignment horizontal="distributed" vertical="center"/>
    </xf>
    <xf numFmtId="179" fontId="30" fillId="0" borderId="65" xfId="1" applyNumberFormat="1" applyFont="1" applyBorder="1" applyAlignment="1">
      <alignment horizontal="distributed" vertical="center"/>
    </xf>
    <xf numFmtId="179" fontId="30" fillId="0" borderId="18" xfId="1" applyNumberFormat="1" applyFont="1" applyBorder="1" applyAlignment="1">
      <alignment horizontal="distributed" vertical="center"/>
    </xf>
    <xf numFmtId="179" fontId="30" fillId="0" borderId="43" xfId="1" applyNumberFormat="1" applyFont="1" applyBorder="1" applyAlignment="1">
      <alignment horizontal="distributed" vertical="center"/>
    </xf>
    <xf numFmtId="179" fontId="35" fillId="0" borderId="62" xfId="1" applyNumberFormat="1" applyFont="1" applyBorder="1" applyAlignment="1">
      <alignment horizontal="center" vertical="center"/>
    </xf>
    <xf numFmtId="179" fontId="35" fillId="0" borderId="40" xfId="1" applyNumberFormat="1" applyFont="1" applyBorder="1" applyAlignment="1">
      <alignment horizontal="distributed" vertical="center"/>
    </xf>
    <xf numFmtId="179" fontId="30" fillId="0" borderId="18" xfId="1" applyNumberFormat="1" applyFont="1" applyBorder="1" applyAlignment="1">
      <alignment vertical="center"/>
    </xf>
    <xf numFmtId="179" fontId="30" fillId="0" borderId="59" xfId="1" applyNumberFormat="1" applyFont="1" applyBorder="1" applyAlignment="1">
      <alignment vertical="center"/>
    </xf>
    <xf numFmtId="179" fontId="30" fillId="0" borderId="67" xfId="1" applyNumberFormat="1" applyFont="1" applyBorder="1" applyAlignment="1">
      <alignment horizontal="center" vertical="center"/>
    </xf>
    <xf numFmtId="41" fontId="30" fillId="0" borderId="40" xfId="2" applyFont="1" applyBorder="1" applyAlignment="1">
      <alignment horizontal="distributed" vertical="center" justifyLastLine="1"/>
    </xf>
    <xf numFmtId="179" fontId="30" fillId="0" borderId="64" xfId="1" applyNumberFormat="1" applyFont="1" applyBorder="1" applyAlignment="1">
      <alignment horizontal="center" vertical="center"/>
    </xf>
    <xf numFmtId="179" fontId="30" fillId="0" borderId="62" xfId="1" applyNumberFormat="1" applyFont="1" applyBorder="1" applyAlignment="1">
      <alignment horizontal="center" vertical="center"/>
    </xf>
    <xf numFmtId="41" fontId="30" fillId="0" borderId="62" xfId="2" applyFont="1" applyBorder="1" applyAlignment="1">
      <alignment horizontal="center" vertical="center"/>
    </xf>
    <xf numFmtId="179" fontId="30" fillId="0" borderId="59" xfId="1" applyNumberFormat="1" applyFont="1" applyBorder="1" applyAlignment="1">
      <alignment horizontal="distributed" vertical="center"/>
    </xf>
    <xf numFmtId="179" fontId="30" fillId="0" borderId="29" xfId="1" applyNumberFormat="1" applyFont="1" applyBorder="1" applyAlignment="1">
      <alignment horizontal="distributed" vertical="center"/>
    </xf>
    <xf numFmtId="179" fontId="29" fillId="0" borderId="119" xfId="1" applyNumberFormat="1" applyFont="1" applyBorder="1" applyAlignment="1">
      <alignment horizontal="distributed" vertical="center"/>
    </xf>
    <xf numFmtId="179" fontId="30" fillId="0" borderId="36" xfId="1" applyNumberFormat="1" applyFont="1" applyBorder="1" applyAlignment="1">
      <alignment horizontal="distributed" vertical="center"/>
    </xf>
    <xf numFmtId="179" fontId="30" fillId="0" borderId="36" xfId="1" applyNumberFormat="1" applyFont="1" applyBorder="1" applyAlignment="1">
      <alignment vertical="center"/>
    </xf>
    <xf numFmtId="179" fontId="30" fillId="0" borderId="61" xfId="1" applyNumberFormat="1" applyFont="1" applyBorder="1" applyAlignment="1">
      <alignment horizontal="distributed" vertical="center"/>
    </xf>
    <xf numFmtId="0" fontId="29" fillId="0" borderId="0" xfId="1" applyFont="1" applyAlignment="1">
      <alignment horizontal="left" vertical="center"/>
    </xf>
    <xf numFmtId="41" fontId="30" fillId="0" borderId="0" xfId="2" applyFont="1" applyAlignment="1">
      <alignment horizontal="right" vertical="center"/>
    </xf>
    <xf numFmtId="41" fontId="25" fillId="2" borderId="98" xfId="2" applyFont="1" applyFill="1" applyBorder="1" applyAlignment="1">
      <alignment horizontal="center" vertical="center"/>
    </xf>
    <xf numFmtId="179" fontId="25" fillId="0" borderId="117" xfId="1" applyNumberFormat="1" applyFont="1" applyBorder="1" applyAlignment="1">
      <alignment horizontal="distributed" vertical="center" justifyLastLine="1"/>
    </xf>
    <xf numFmtId="179" fontId="25" fillId="0" borderId="5" xfId="1" applyNumberFormat="1" applyFont="1" applyBorder="1" applyAlignment="1">
      <alignment horizontal="distributed" vertical="center" justifyLastLine="1"/>
    </xf>
    <xf numFmtId="179" fontId="25" fillId="0" borderId="26" xfId="1" applyNumberFormat="1" applyFont="1" applyBorder="1" applyAlignment="1">
      <alignment horizontal="distributed" vertical="center" justifyLastLine="1"/>
    </xf>
    <xf numFmtId="179" fontId="25" fillId="0" borderId="118" xfId="1" applyNumberFormat="1" applyFont="1" applyBorder="1" applyAlignment="1">
      <alignment horizontal="distributed" vertical="center" justifyLastLine="1"/>
    </xf>
    <xf numFmtId="179" fontId="25" fillId="0" borderId="37" xfId="1" applyNumberFormat="1" applyFont="1" applyBorder="1" applyAlignment="1">
      <alignment horizontal="distributed" vertical="center" justifyLastLine="1"/>
    </xf>
    <xf numFmtId="179" fontId="25" fillId="0" borderId="18" xfId="1" applyNumberFormat="1" applyFont="1" applyBorder="1" applyAlignment="1">
      <alignment horizontal="distributed" vertical="center" justifyLastLine="1"/>
    </xf>
    <xf numFmtId="179" fontId="25" fillId="0" borderId="16" xfId="1" applyNumberFormat="1" applyFont="1" applyBorder="1" applyAlignment="1">
      <alignment horizontal="distributed" vertical="center" justifyLastLine="1"/>
    </xf>
    <xf numFmtId="179" fontId="36" fillId="0" borderId="117" xfId="1" applyNumberFormat="1" applyFont="1" applyBorder="1" applyAlignment="1">
      <alignment horizontal="distributed" vertical="center" justifyLastLine="1"/>
    </xf>
    <xf numFmtId="0" fontId="25" fillId="0" borderId="18" xfId="1" applyFont="1" applyBorder="1" applyAlignment="1">
      <alignment vertical="center"/>
    </xf>
    <xf numFmtId="0" fontId="25" fillId="0" borderId="16" xfId="1" applyFont="1" applyBorder="1" applyAlignment="1">
      <alignment vertical="center"/>
    </xf>
    <xf numFmtId="179" fontId="25" fillId="0" borderId="22" xfId="1" applyNumberFormat="1" applyFont="1" applyBorder="1" applyAlignment="1">
      <alignment horizontal="distributed" vertical="center" justifyLastLine="1"/>
    </xf>
    <xf numFmtId="179" fontId="25" fillId="0" borderId="23" xfId="1" applyNumberFormat="1" applyFont="1" applyBorder="1" applyAlignment="1">
      <alignment horizontal="distributed" vertical="center" justifyLastLine="1"/>
    </xf>
    <xf numFmtId="179" fontId="25" fillId="0" borderId="124" xfId="1" applyNumberFormat="1" applyFont="1" applyBorder="1" applyAlignment="1">
      <alignment horizontal="distributed" vertical="center" justifyLastLine="1"/>
    </xf>
    <xf numFmtId="179" fontId="25" fillId="0" borderId="124" xfId="1" applyNumberFormat="1" applyFont="1" applyBorder="1" applyAlignment="1">
      <alignment vertical="center"/>
    </xf>
    <xf numFmtId="41" fontId="25" fillId="2" borderId="11" xfId="2" applyFont="1" applyFill="1" applyBorder="1" applyAlignment="1">
      <alignment horizontal="center" vertical="center"/>
    </xf>
    <xf numFmtId="180" fontId="29" fillId="0" borderId="0" xfId="0" applyNumberFormat="1" applyFont="1" applyAlignment="1">
      <alignment vertical="center"/>
    </xf>
    <xf numFmtId="180" fontId="25" fillId="0" borderId="113" xfId="0" applyNumberFormat="1" applyFont="1" applyBorder="1" applyAlignment="1">
      <alignment vertical="center"/>
    </xf>
    <xf numFmtId="176" fontId="25" fillId="0" borderId="113" xfId="0" applyNumberFormat="1" applyFont="1" applyBorder="1" applyAlignment="1">
      <alignment vertical="center"/>
    </xf>
    <xf numFmtId="180" fontId="25" fillId="0" borderId="0" xfId="0" applyNumberFormat="1" applyFont="1" applyAlignment="1">
      <alignment horizontal="center" vertical="center"/>
    </xf>
    <xf numFmtId="180" fontId="25" fillId="0" borderId="0" xfId="3" applyNumberFormat="1" applyFont="1" applyAlignment="1">
      <alignment horizontal="right" vertical="center"/>
    </xf>
    <xf numFmtId="180" fontId="37" fillId="4" borderId="12" xfId="0" applyNumberFormat="1" applyFont="1" applyFill="1" applyBorder="1" applyAlignment="1">
      <alignment horizontal="center" vertical="center"/>
    </xf>
    <xf numFmtId="180" fontId="37" fillId="4" borderId="13" xfId="0" applyNumberFormat="1" applyFont="1" applyFill="1" applyBorder="1" applyAlignment="1">
      <alignment horizontal="center" vertical="center"/>
    </xf>
    <xf numFmtId="180" fontId="37" fillId="5" borderId="101" xfId="0" applyNumberFormat="1" applyFont="1" applyFill="1" applyBorder="1" applyAlignment="1">
      <alignment vertical="center"/>
    </xf>
    <xf numFmtId="180" fontId="37" fillId="5" borderId="146" xfId="0" applyNumberFormat="1" applyFont="1" applyFill="1" applyBorder="1" applyAlignment="1">
      <alignment vertical="center" wrapText="1"/>
    </xf>
    <xf numFmtId="180" fontId="37" fillId="5" borderId="124" xfId="0" applyNumberFormat="1" applyFont="1" applyFill="1" applyBorder="1" applyAlignment="1">
      <alignment vertical="center" wrapText="1"/>
    </xf>
    <xf numFmtId="180" fontId="37" fillId="5" borderId="118" xfId="0" applyNumberFormat="1" applyFont="1" applyFill="1" applyBorder="1" applyAlignment="1">
      <alignment vertical="center" wrapText="1"/>
    </xf>
    <xf numFmtId="180" fontId="37" fillId="5" borderId="37" xfId="0" applyNumberFormat="1" applyFont="1" applyFill="1" applyBorder="1" applyAlignment="1">
      <alignment vertical="center" wrapText="1"/>
    </xf>
    <xf numFmtId="180" fontId="37" fillId="5" borderId="147" xfId="0" applyNumberFormat="1" applyFont="1" applyFill="1" applyBorder="1" applyAlignment="1">
      <alignment horizontal="left" vertical="center" wrapText="1"/>
    </xf>
    <xf numFmtId="180" fontId="37" fillId="5" borderId="16" xfId="0" applyNumberFormat="1" applyFont="1" applyFill="1" applyBorder="1" applyAlignment="1">
      <alignment horizontal="center" vertical="center" wrapText="1"/>
    </xf>
    <xf numFmtId="180" fontId="37" fillId="5" borderId="124" xfId="0" applyNumberFormat="1" applyFont="1" applyFill="1" applyBorder="1" applyAlignment="1">
      <alignment vertical="center"/>
    </xf>
    <xf numFmtId="180" fontId="37" fillId="5" borderId="37" xfId="0" applyNumberFormat="1" applyFont="1" applyFill="1" applyBorder="1" applyAlignment="1">
      <alignment vertical="center"/>
    </xf>
    <xf numFmtId="180" fontId="37" fillId="5" borderId="147" xfId="0" applyNumberFormat="1" applyFont="1" applyFill="1" applyBorder="1" applyAlignment="1">
      <alignment vertical="center"/>
    </xf>
    <xf numFmtId="180" fontId="37" fillId="5" borderId="36" xfId="0" applyNumberFormat="1" applyFont="1" applyFill="1" applyBorder="1" applyAlignment="1">
      <alignment vertical="center"/>
    </xf>
    <xf numFmtId="180" fontId="37" fillId="5" borderId="115" xfId="0" applyNumberFormat="1" applyFont="1" applyFill="1" applyBorder="1" applyAlignment="1">
      <alignment vertical="center" wrapText="1"/>
    </xf>
    <xf numFmtId="180" fontId="37" fillId="5" borderId="23" xfId="0" applyNumberFormat="1" applyFont="1" applyFill="1" applyBorder="1" applyAlignment="1">
      <alignment vertical="center" wrapText="1"/>
    </xf>
    <xf numFmtId="180" fontId="37" fillId="5" borderId="28" xfId="0" applyNumberFormat="1" applyFont="1" applyFill="1" applyBorder="1" applyAlignment="1">
      <alignment vertical="center"/>
    </xf>
    <xf numFmtId="180" fontId="37" fillId="5" borderId="23" xfId="0" applyNumberFormat="1" applyFont="1" applyFill="1" applyBorder="1" applyAlignment="1">
      <alignment vertical="center"/>
    </xf>
    <xf numFmtId="0" fontId="37" fillId="5" borderId="101" xfId="4" applyFont="1" applyFill="1" applyBorder="1" applyAlignment="1">
      <alignment vertical="center"/>
    </xf>
    <xf numFmtId="0" fontId="37" fillId="5" borderId="124" xfId="4" applyFont="1" applyFill="1" applyBorder="1" applyAlignment="1">
      <alignment vertical="center" wrapText="1"/>
    </xf>
    <xf numFmtId="0" fontId="37" fillId="5" borderId="124" xfId="4" applyFont="1" applyFill="1" applyBorder="1" applyAlignment="1">
      <alignment vertical="center"/>
    </xf>
    <xf numFmtId="0" fontId="37" fillId="5" borderId="118" xfId="4" applyFont="1" applyFill="1" applyBorder="1" applyAlignment="1">
      <alignment vertical="center"/>
    </xf>
    <xf numFmtId="0" fontId="37" fillId="5" borderId="37" xfId="4" applyFont="1" applyFill="1" applyBorder="1" applyAlignment="1">
      <alignment vertical="center"/>
    </xf>
    <xf numFmtId="0" fontId="37" fillId="5" borderId="147" xfId="4" applyFont="1" applyFill="1" applyBorder="1" applyAlignment="1">
      <alignment vertical="center" wrapText="1"/>
    </xf>
    <xf numFmtId="0" fontId="39" fillId="5" borderId="37" xfId="4" applyFont="1" applyFill="1" applyBorder="1" applyAlignment="1">
      <alignment vertical="center" wrapText="1"/>
    </xf>
    <xf numFmtId="0" fontId="37" fillId="5" borderId="147" xfId="4" applyFont="1" applyFill="1" applyBorder="1" applyAlignment="1">
      <alignment vertical="center"/>
    </xf>
    <xf numFmtId="0" fontId="37" fillId="5" borderId="37" xfId="4" applyFont="1" applyFill="1" applyBorder="1" applyAlignment="1">
      <alignment vertical="center" wrapText="1"/>
    </xf>
    <xf numFmtId="0" fontId="39" fillId="5" borderId="36" xfId="4" applyFont="1" applyFill="1" applyBorder="1" applyAlignment="1">
      <alignment vertical="center" wrapText="1"/>
    </xf>
    <xf numFmtId="0" fontId="36" fillId="5" borderId="37" xfId="4" applyFont="1" applyFill="1" applyBorder="1" applyAlignment="1">
      <alignment vertical="center" wrapText="1"/>
    </xf>
    <xf numFmtId="0" fontId="37" fillId="5" borderId="115" xfId="4" applyFont="1" applyFill="1" applyBorder="1" applyAlignment="1">
      <alignment vertical="center"/>
    </xf>
    <xf numFmtId="0" fontId="37" fillId="5" borderId="23" xfId="4" applyFont="1" applyFill="1" applyBorder="1" applyAlignment="1">
      <alignment vertical="center"/>
    </xf>
    <xf numFmtId="0" fontId="37" fillId="5" borderId="126" xfId="4" applyFont="1" applyFill="1" applyBorder="1" applyAlignment="1">
      <alignment vertical="center" wrapText="1"/>
    </xf>
    <xf numFmtId="0" fontId="37" fillId="5" borderId="23" xfId="4" applyFont="1" applyFill="1" applyBorder="1" applyAlignment="1">
      <alignment vertical="center" wrapText="1"/>
    </xf>
    <xf numFmtId="180" fontId="37" fillId="4" borderId="46" xfId="0" applyNumberFormat="1" applyFont="1" applyFill="1" applyBorder="1" applyAlignment="1">
      <alignment horizontal="center" vertical="center"/>
    </xf>
    <xf numFmtId="180" fontId="37" fillId="4" borderId="15" xfId="0" applyNumberFormat="1" applyFont="1" applyFill="1" applyBorder="1" applyAlignment="1">
      <alignment horizontal="center" vertical="center"/>
    </xf>
    <xf numFmtId="180" fontId="37" fillId="5" borderId="125" xfId="3" applyNumberFormat="1" applyFont="1" applyFill="1" applyBorder="1" applyAlignment="1">
      <alignment vertical="center"/>
    </xf>
    <xf numFmtId="180" fontId="37" fillId="5" borderId="143" xfId="3" applyNumberFormat="1" applyFont="1" applyFill="1" applyBorder="1" applyAlignment="1">
      <alignment horizontal="center" vertical="center"/>
    </xf>
    <xf numFmtId="180" fontId="37" fillId="5" borderId="122" xfId="3" applyNumberFormat="1" applyFont="1" applyFill="1" applyBorder="1" applyAlignment="1">
      <alignment vertical="center"/>
    </xf>
    <xf numFmtId="180" fontId="37" fillId="5" borderId="123" xfId="3" applyNumberFormat="1" applyFont="1" applyFill="1" applyBorder="1" applyAlignment="1">
      <alignment horizontal="center" vertical="center"/>
    </xf>
    <xf numFmtId="180" fontId="37" fillId="5" borderId="120" xfId="3" applyNumberFormat="1" applyFont="1" applyFill="1" applyBorder="1" applyAlignment="1">
      <alignment vertical="center"/>
    </xf>
    <xf numFmtId="180" fontId="37" fillId="5" borderId="121" xfId="3" applyNumberFormat="1" applyFont="1" applyFill="1" applyBorder="1" applyAlignment="1">
      <alignment horizontal="center" vertical="center"/>
    </xf>
    <xf numFmtId="180" fontId="38" fillId="5" borderId="149" xfId="0" applyNumberFormat="1" applyFont="1" applyFill="1" applyBorder="1" applyAlignment="1">
      <alignment horizontal="center" vertical="center"/>
    </xf>
    <xf numFmtId="180" fontId="37" fillId="5" borderId="0" xfId="4" applyNumberFormat="1" applyFont="1" applyFill="1" applyBorder="1" applyAlignment="1">
      <alignment vertical="center"/>
    </xf>
    <xf numFmtId="180" fontId="37" fillId="5" borderId="0" xfId="0" quotePrefix="1" applyNumberFormat="1" applyFont="1" applyFill="1" applyBorder="1" applyAlignment="1">
      <alignment horizontal="center" vertical="center"/>
    </xf>
    <xf numFmtId="181" fontId="37" fillId="5" borderId="0" xfId="0" applyNumberFormat="1" applyFont="1" applyFill="1" applyBorder="1" applyAlignment="1">
      <alignment vertical="center"/>
    </xf>
    <xf numFmtId="41" fontId="37" fillId="5" borderId="0" xfId="3" applyFont="1" applyFill="1" applyBorder="1" applyAlignment="1">
      <alignment vertical="center"/>
    </xf>
    <xf numFmtId="180" fontId="37" fillId="5" borderId="0" xfId="0" applyNumberFormat="1" applyFont="1" applyFill="1" applyBorder="1" applyAlignment="1">
      <alignment horizontal="center" vertical="center"/>
    </xf>
    <xf numFmtId="180" fontId="37" fillId="5" borderId="149" xfId="3" applyNumberFormat="1" applyFont="1" applyFill="1" applyBorder="1" applyAlignment="1">
      <alignment horizontal="center" vertical="center"/>
    </xf>
    <xf numFmtId="180" fontId="37" fillId="5" borderId="113" xfId="0" applyNumberFormat="1" applyFont="1" applyFill="1" applyBorder="1" applyAlignment="1">
      <alignment vertical="center" shrinkToFit="1"/>
    </xf>
    <xf numFmtId="180" fontId="37" fillId="5" borderId="113" xfId="0" applyNumberFormat="1" applyFont="1" applyFill="1" applyBorder="1" applyAlignment="1">
      <alignment horizontal="center" vertical="center"/>
    </xf>
    <xf numFmtId="41" fontId="37" fillId="5" borderId="143" xfId="3" applyFont="1" applyFill="1" applyBorder="1" applyAlignment="1">
      <alignment horizontal="center" vertical="center"/>
    </xf>
    <xf numFmtId="41" fontId="37" fillId="5" borderId="0" xfId="3" applyFont="1" applyFill="1" applyBorder="1" applyAlignment="1">
      <alignment horizontal="center" vertical="center"/>
    </xf>
    <xf numFmtId="0" fontId="37" fillId="5" borderId="149" xfId="4" applyFont="1" applyFill="1" applyBorder="1" applyAlignment="1">
      <alignment vertical="center" shrinkToFit="1"/>
    </xf>
    <xf numFmtId="0" fontId="37" fillId="5" borderId="149" xfId="4" applyFont="1" applyFill="1" applyBorder="1" applyAlignment="1">
      <alignment horizontal="center" vertical="center" shrinkToFit="1"/>
    </xf>
    <xf numFmtId="0" fontId="37" fillId="5" borderId="121" xfId="4" applyFont="1" applyFill="1" applyBorder="1" applyAlignment="1">
      <alignment horizontal="center" vertical="center" shrinkToFit="1"/>
    </xf>
    <xf numFmtId="0" fontId="38" fillId="5" borderId="0" xfId="4" applyFont="1" applyFill="1" applyBorder="1" applyAlignment="1">
      <alignment horizontal="center" vertical="center" shrinkToFit="1"/>
    </xf>
    <xf numFmtId="0" fontId="38" fillId="5" borderId="0" xfId="4" applyNumberFormat="1" applyFont="1" applyFill="1" applyBorder="1" applyAlignment="1">
      <alignment horizontal="center" vertical="center" shrinkToFit="1"/>
    </xf>
    <xf numFmtId="0" fontId="37" fillId="5" borderId="121" xfId="4" applyFont="1" applyFill="1" applyBorder="1" applyAlignment="1">
      <alignment vertical="center" shrinkToFit="1"/>
    </xf>
    <xf numFmtId="0" fontId="37" fillId="5" borderId="113" xfId="4" applyFont="1" applyFill="1" applyBorder="1" applyAlignment="1">
      <alignment vertical="center" shrinkToFit="1"/>
    </xf>
    <xf numFmtId="0" fontId="37" fillId="5" borderId="113" xfId="4" applyFont="1" applyFill="1" applyBorder="1" applyAlignment="1">
      <alignment horizontal="center" vertical="center" shrinkToFit="1"/>
    </xf>
    <xf numFmtId="180" fontId="37" fillId="4" borderId="49" xfId="0" applyNumberFormat="1" applyFont="1" applyFill="1" applyBorder="1" applyAlignment="1">
      <alignment horizontal="center" vertical="center"/>
    </xf>
    <xf numFmtId="0" fontId="42" fillId="0" borderId="0" xfId="0" applyNumberFormat="1" applyFont="1" applyBorder="1">
      <alignment vertical="center"/>
    </xf>
    <xf numFmtId="180" fontId="38" fillId="5" borderId="149" xfId="0" applyNumberFormat="1" applyFont="1" applyFill="1" applyBorder="1" applyAlignment="1">
      <alignment vertical="center"/>
    </xf>
    <xf numFmtId="180" fontId="37" fillId="5" borderId="0" xfId="0" applyNumberFormat="1" applyFont="1" applyFill="1" applyBorder="1" applyAlignment="1">
      <alignment vertical="center"/>
    </xf>
    <xf numFmtId="180" fontId="37" fillId="5" borderId="121" xfId="3" applyNumberFormat="1" applyFont="1" applyFill="1" applyBorder="1" applyAlignment="1">
      <alignment vertical="center"/>
    </xf>
    <xf numFmtId="180" fontId="37" fillId="5" borderId="123" xfId="3" applyNumberFormat="1" applyFont="1" applyFill="1" applyBorder="1" applyAlignment="1">
      <alignment vertical="center"/>
    </xf>
    <xf numFmtId="180" fontId="38" fillId="5" borderId="149" xfId="3" applyNumberFormat="1" applyFont="1" applyFill="1" applyBorder="1" applyAlignment="1">
      <alignment vertical="center"/>
    </xf>
    <xf numFmtId="41" fontId="37" fillId="5" borderId="143" xfId="3" applyFont="1" applyFill="1" applyBorder="1" applyAlignment="1">
      <alignment vertical="center"/>
    </xf>
    <xf numFmtId="0" fontId="38" fillId="5" borderId="0" xfId="4" applyFont="1" applyFill="1" applyBorder="1" applyAlignment="1">
      <alignment vertical="center" shrinkToFit="1"/>
    </xf>
    <xf numFmtId="0" fontId="0" fillId="0" borderId="98" xfId="0" applyBorder="1">
      <alignment vertical="center"/>
    </xf>
    <xf numFmtId="0" fontId="0" fillId="0" borderId="150" xfId="0" applyBorder="1">
      <alignment vertical="center"/>
    </xf>
    <xf numFmtId="0" fontId="0" fillId="0" borderId="97" xfId="0" applyBorder="1">
      <alignment vertical="center"/>
    </xf>
    <xf numFmtId="177" fontId="38" fillId="4" borderId="48" xfId="3" applyNumberFormat="1" applyFont="1" applyFill="1" applyBorder="1" applyAlignment="1">
      <alignment horizontal="right" vertical="center" wrapText="1"/>
    </xf>
    <xf numFmtId="177" fontId="38" fillId="4" borderId="20" xfId="3" applyNumberFormat="1" applyFont="1" applyFill="1" applyBorder="1" applyAlignment="1">
      <alignment horizontal="right" vertical="center"/>
    </xf>
    <xf numFmtId="180" fontId="38" fillId="5" borderId="142" xfId="0" applyNumberFormat="1" applyFont="1" applyFill="1" applyBorder="1" applyAlignment="1">
      <alignment vertical="center"/>
    </xf>
    <xf numFmtId="180" fontId="38" fillId="5" borderId="143" xfId="0" applyNumberFormat="1" applyFont="1" applyFill="1" applyBorder="1" applyAlignment="1">
      <alignment vertical="center"/>
    </xf>
    <xf numFmtId="180" fontId="38" fillId="5" borderId="101" xfId="0" applyNumberFormat="1" applyFont="1" applyFill="1" applyBorder="1" applyAlignment="1">
      <alignment vertical="center"/>
    </xf>
    <xf numFmtId="177" fontId="38" fillId="5" borderId="9" xfId="3" applyNumberFormat="1" applyFont="1" applyFill="1" applyBorder="1" applyAlignment="1">
      <alignment horizontal="right" vertical="center" shrinkToFit="1"/>
    </xf>
    <xf numFmtId="180" fontId="38" fillId="5" borderId="146" xfId="0" applyNumberFormat="1" applyFont="1" applyFill="1" applyBorder="1" applyAlignment="1">
      <alignment vertical="center"/>
    </xf>
    <xf numFmtId="180" fontId="38" fillId="5" borderId="120" xfId="0" applyNumberFormat="1" applyFont="1" applyFill="1" applyBorder="1" applyAlignment="1">
      <alignment vertical="center"/>
    </xf>
    <xf numFmtId="180" fontId="38" fillId="5" borderId="121" xfId="0" applyNumberFormat="1" applyFont="1" applyFill="1" applyBorder="1" applyAlignment="1">
      <alignment vertical="center"/>
    </xf>
    <xf numFmtId="180" fontId="38" fillId="5" borderId="30" xfId="0" applyNumberFormat="1" applyFont="1" applyFill="1" applyBorder="1" applyAlignment="1">
      <alignment vertical="center"/>
    </xf>
    <xf numFmtId="177" fontId="38" fillId="5" borderId="11" xfId="3" applyNumberFormat="1" applyFont="1" applyFill="1" applyBorder="1" applyAlignment="1">
      <alignment horizontal="right" vertical="center" shrinkToFit="1"/>
    </xf>
    <xf numFmtId="180" fontId="38" fillId="5" borderId="124" xfId="0" applyNumberFormat="1" applyFont="1" applyFill="1" applyBorder="1" applyAlignment="1">
      <alignment vertical="center"/>
    </xf>
    <xf numFmtId="180" fontId="38" fillId="5" borderId="118" xfId="0" applyNumberFormat="1" applyFont="1" applyFill="1" applyBorder="1" applyAlignment="1">
      <alignment vertical="center"/>
    </xf>
    <xf numFmtId="180" fontId="38" fillId="6" borderId="120" xfId="0" applyNumberFormat="1" applyFont="1" applyFill="1" applyBorder="1" applyAlignment="1">
      <alignment vertical="center"/>
    </xf>
    <xf numFmtId="180" fontId="38" fillId="6" borderId="121" xfId="0" applyNumberFormat="1" applyFont="1" applyFill="1" applyBorder="1" applyAlignment="1">
      <alignment vertical="center"/>
    </xf>
    <xf numFmtId="180" fontId="38" fillId="6" borderId="30" xfId="0" applyNumberFormat="1" applyFont="1" applyFill="1" applyBorder="1" applyAlignment="1">
      <alignment vertical="center"/>
    </xf>
    <xf numFmtId="177" fontId="38" fillId="6" borderId="11" xfId="3" applyNumberFormat="1" applyFont="1" applyFill="1" applyBorder="1" applyAlignment="1">
      <alignment horizontal="right" vertical="center" shrinkToFit="1"/>
    </xf>
    <xf numFmtId="180" fontId="38" fillId="5" borderId="37" xfId="0" applyNumberFormat="1" applyFont="1" applyFill="1" applyBorder="1" applyAlignment="1">
      <alignment vertical="center"/>
    </xf>
    <xf numFmtId="180" fontId="38" fillId="5" borderId="147" xfId="0" applyNumberFormat="1" applyFont="1" applyFill="1" applyBorder="1" applyAlignment="1">
      <alignment horizontal="left" vertical="center"/>
    </xf>
    <xf numFmtId="180" fontId="38" fillId="5" borderId="37" xfId="0" applyNumberFormat="1" applyFont="1" applyFill="1" applyBorder="1" applyAlignment="1">
      <alignment horizontal="left" vertical="center"/>
    </xf>
    <xf numFmtId="180" fontId="38" fillId="5" borderId="118" xfId="0" applyNumberFormat="1" applyFont="1" applyFill="1" applyBorder="1" applyAlignment="1">
      <alignment horizontal="left" vertical="center"/>
    </xf>
    <xf numFmtId="180" fontId="37" fillId="5" borderId="37" xfId="0" applyNumberFormat="1" applyFont="1" applyFill="1" applyBorder="1" applyAlignment="1">
      <alignment horizontal="left" vertical="center"/>
    </xf>
    <xf numFmtId="180" fontId="37" fillId="5" borderId="147" xfId="0" applyNumberFormat="1" applyFont="1" applyFill="1" applyBorder="1" applyAlignment="1">
      <alignment horizontal="left" vertical="center"/>
    </xf>
    <xf numFmtId="180" fontId="37" fillId="5" borderId="5" xfId="0" applyNumberFormat="1" applyFont="1" applyFill="1" applyBorder="1" applyAlignment="1">
      <alignment horizontal="left" vertical="center"/>
    </xf>
    <xf numFmtId="180" fontId="37" fillId="5" borderId="118" xfId="0" applyNumberFormat="1" applyFont="1" applyFill="1" applyBorder="1" applyAlignment="1">
      <alignment horizontal="left" vertical="center"/>
    </xf>
    <xf numFmtId="180" fontId="37" fillId="5" borderId="16" xfId="0" applyNumberFormat="1" applyFont="1" applyFill="1" applyBorder="1" applyAlignment="1">
      <alignment horizontal="left" vertical="center"/>
    </xf>
    <xf numFmtId="180" fontId="37" fillId="5" borderId="122" xfId="0" applyNumberFormat="1" applyFont="1" applyFill="1" applyBorder="1" applyAlignment="1">
      <alignment horizontal="left" vertical="center"/>
    </xf>
    <xf numFmtId="180" fontId="37" fillId="5" borderId="119" xfId="0" applyNumberFormat="1" applyFont="1" applyFill="1" applyBorder="1" applyAlignment="1">
      <alignment horizontal="left" vertical="center"/>
    </xf>
    <xf numFmtId="180" fontId="37" fillId="5" borderId="148" xfId="0" applyNumberFormat="1" applyFont="1" applyFill="1" applyBorder="1" applyAlignment="1">
      <alignment horizontal="left" vertical="center"/>
    </xf>
    <xf numFmtId="180" fontId="38" fillId="0" borderId="120" xfId="0" applyNumberFormat="1" applyFont="1" applyFill="1" applyBorder="1" applyAlignment="1">
      <alignment vertical="center"/>
    </xf>
    <xf numFmtId="180" fontId="38" fillId="0" borderId="121" xfId="0" applyNumberFormat="1" applyFont="1" applyFill="1" applyBorder="1" applyAlignment="1">
      <alignment vertical="center"/>
    </xf>
    <xf numFmtId="180" fontId="38" fillId="0" borderId="30" xfId="0" applyNumberFormat="1" applyFont="1" applyFill="1" applyBorder="1" applyAlignment="1">
      <alignment vertical="center"/>
    </xf>
    <xf numFmtId="180" fontId="38" fillId="5" borderId="148" xfId="0" applyNumberFormat="1" applyFont="1" applyFill="1" applyBorder="1" applyAlignment="1">
      <alignment horizontal="left" vertical="center"/>
    </xf>
    <xf numFmtId="180" fontId="38" fillId="5" borderId="121" xfId="0" applyNumberFormat="1" applyFont="1" applyFill="1" applyBorder="1" applyAlignment="1">
      <alignment horizontal="left" vertical="center"/>
    </xf>
    <xf numFmtId="180" fontId="37" fillId="5" borderId="121" xfId="0" applyNumberFormat="1" applyFont="1" applyFill="1" applyBorder="1" applyAlignment="1">
      <alignment horizontal="left" vertical="center"/>
    </xf>
    <xf numFmtId="180" fontId="38" fillId="7" borderId="120" xfId="0" applyNumberFormat="1" applyFont="1" applyFill="1" applyBorder="1" applyAlignment="1">
      <alignment vertical="center"/>
    </xf>
    <xf numFmtId="180" fontId="38" fillId="7" borderId="121" xfId="0" applyNumberFormat="1" applyFont="1" applyFill="1" applyBorder="1" applyAlignment="1">
      <alignment vertical="center"/>
    </xf>
    <xf numFmtId="180" fontId="38" fillId="7" borderId="30" xfId="0" applyNumberFormat="1" applyFont="1" applyFill="1" applyBorder="1" applyAlignment="1">
      <alignment vertical="center"/>
    </xf>
    <xf numFmtId="177" fontId="38" fillId="7" borderId="11" xfId="3" applyNumberFormat="1" applyFont="1" applyFill="1" applyBorder="1" applyAlignment="1">
      <alignment horizontal="right" vertical="center" shrinkToFit="1"/>
    </xf>
    <xf numFmtId="180" fontId="38" fillId="5" borderId="120" xfId="0" applyNumberFormat="1" applyFont="1" applyFill="1" applyBorder="1" applyAlignment="1">
      <alignment horizontal="left" vertical="center"/>
    </xf>
    <xf numFmtId="180" fontId="37" fillId="5" borderId="120" xfId="0" applyNumberFormat="1" applyFont="1" applyFill="1" applyBorder="1" applyAlignment="1">
      <alignment horizontal="left" vertical="center"/>
    </xf>
    <xf numFmtId="180" fontId="38" fillId="5" borderId="26" xfId="0" applyNumberFormat="1" applyFont="1" applyFill="1" applyBorder="1" applyAlignment="1">
      <alignment vertical="center"/>
    </xf>
    <xf numFmtId="180" fontId="37" fillId="5" borderId="26" xfId="0" applyNumberFormat="1" applyFont="1" applyFill="1" applyBorder="1" applyAlignment="1">
      <alignment vertical="center"/>
    </xf>
    <xf numFmtId="180" fontId="38" fillId="8" borderId="120" xfId="0" applyNumberFormat="1" applyFont="1" applyFill="1" applyBorder="1" applyAlignment="1">
      <alignment vertical="center"/>
    </xf>
    <xf numFmtId="180" fontId="38" fillId="8" borderId="121" xfId="0" applyNumberFormat="1" applyFont="1" applyFill="1" applyBorder="1" applyAlignment="1">
      <alignment vertical="center"/>
    </xf>
    <xf numFmtId="180" fontId="38" fillId="8" borderId="30" xfId="0" applyNumberFormat="1" applyFont="1" applyFill="1" applyBorder="1" applyAlignment="1">
      <alignment vertical="center"/>
    </xf>
    <xf numFmtId="177" fontId="38" fillId="8" borderId="11" xfId="3" applyNumberFormat="1" applyFont="1" applyFill="1" applyBorder="1" applyAlignment="1">
      <alignment horizontal="right" vertical="center" shrinkToFit="1"/>
    </xf>
    <xf numFmtId="180" fontId="38" fillId="5" borderId="123" xfId="0" applyNumberFormat="1" applyFont="1" applyFill="1" applyBorder="1" applyAlignment="1">
      <alignment horizontal="left" vertical="center"/>
    </xf>
    <xf numFmtId="180" fontId="38" fillId="5" borderId="119" xfId="0" applyNumberFormat="1" applyFont="1" applyFill="1" applyBorder="1" applyAlignment="1">
      <alignment horizontal="left" vertical="center"/>
    </xf>
    <xf numFmtId="180" fontId="38" fillId="5" borderId="30" xfId="0" applyNumberFormat="1" applyFont="1" applyFill="1" applyBorder="1" applyAlignment="1">
      <alignment horizontal="left" vertical="center"/>
    </xf>
    <xf numFmtId="180" fontId="38" fillId="9" borderId="120" xfId="0" applyNumberFormat="1" applyFont="1" applyFill="1" applyBorder="1" applyAlignment="1">
      <alignment vertical="center"/>
    </xf>
    <xf numFmtId="180" fontId="38" fillId="9" borderId="121" xfId="0" applyNumberFormat="1" applyFont="1" applyFill="1" applyBorder="1" applyAlignment="1">
      <alignment vertical="center"/>
    </xf>
    <xf numFmtId="180" fontId="38" fillId="9" borderId="30" xfId="0" applyNumberFormat="1" applyFont="1" applyFill="1" applyBorder="1" applyAlignment="1">
      <alignment vertical="center"/>
    </xf>
    <xf numFmtId="177" fontId="38" fillId="9" borderId="11" xfId="3" applyNumberFormat="1" applyFont="1" applyFill="1" applyBorder="1" applyAlignment="1">
      <alignment horizontal="right" vertical="center" shrinkToFit="1"/>
    </xf>
    <xf numFmtId="180" fontId="38" fillId="5" borderId="5" xfId="0" applyNumberFormat="1" applyFont="1" applyFill="1" applyBorder="1" applyAlignment="1">
      <alignment vertical="center"/>
    </xf>
    <xf numFmtId="180" fontId="37" fillId="5" borderId="119" xfId="0" applyNumberFormat="1" applyFont="1" applyFill="1" applyBorder="1" applyAlignment="1">
      <alignment vertical="center"/>
    </xf>
    <xf numFmtId="180" fontId="37" fillId="5" borderId="23" xfId="0" applyNumberFormat="1" applyFont="1" applyFill="1" applyBorder="1" applyAlignment="1">
      <alignment horizontal="left" vertical="center"/>
    </xf>
    <xf numFmtId="0" fontId="0" fillId="0" borderId="13" xfId="0" applyNumberFormat="1" applyBorder="1" applyAlignment="1">
      <alignment vertical="center"/>
    </xf>
    <xf numFmtId="0" fontId="42" fillId="0" borderId="13" xfId="0" applyNumberFormat="1" applyFont="1" applyBorder="1" applyAlignment="1">
      <alignment vertical="center"/>
    </xf>
    <xf numFmtId="0" fontId="38" fillId="5" borderId="142" xfId="4" applyFont="1" applyFill="1" applyBorder="1" applyAlignment="1">
      <alignment vertical="center"/>
    </xf>
    <xf numFmtId="0" fontId="38" fillId="5" borderId="143" xfId="4" applyFont="1" applyFill="1" applyBorder="1" applyAlignment="1">
      <alignment vertical="center"/>
    </xf>
    <xf numFmtId="0" fontId="38" fillId="5" borderId="101" xfId="4" applyFont="1" applyFill="1" applyBorder="1" applyAlignment="1">
      <alignment vertical="center"/>
    </xf>
    <xf numFmtId="180" fontId="38" fillId="5" borderId="120" xfId="5" applyNumberFormat="1" applyFont="1" applyFill="1" applyBorder="1" applyAlignment="1">
      <alignment vertical="center"/>
    </xf>
    <xf numFmtId="177" fontId="38" fillId="5" borderId="145" xfId="3" applyNumberFormat="1" applyFont="1" applyFill="1" applyBorder="1" applyAlignment="1">
      <alignment horizontal="right" vertical="center" shrinkToFit="1"/>
    </xf>
    <xf numFmtId="180" fontId="37" fillId="5" borderId="22" xfId="0" applyNumberFormat="1" applyFont="1" applyFill="1" applyBorder="1" applyAlignment="1">
      <alignment vertical="center"/>
    </xf>
    <xf numFmtId="180" fontId="37" fillId="5" borderId="13" xfId="0" applyNumberFormat="1" applyFont="1" applyFill="1" applyBorder="1" applyAlignment="1">
      <alignment horizontal="left" vertical="center"/>
    </xf>
    <xf numFmtId="0" fontId="0" fillId="0" borderId="83" xfId="0" applyBorder="1">
      <alignment vertical="center"/>
    </xf>
    <xf numFmtId="177" fontId="0" fillId="0" borderId="5" xfId="0" applyNumberFormat="1" applyBorder="1">
      <alignment vertical="center"/>
    </xf>
    <xf numFmtId="0" fontId="49" fillId="0" borderId="113" xfId="6" applyNumberFormat="1" applyFont="1" applyFill="1" applyBorder="1" applyAlignment="1">
      <alignment vertical="center"/>
    </xf>
    <xf numFmtId="0" fontId="49" fillId="0" borderId="126" xfId="6" applyNumberFormat="1" applyFont="1" applyFill="1" applyBorder="1" applyAlignment="1">
      <alignment vertical="center"/>
    </xf>
    <xf numFmtId="0" fontId="49" fillId="0" borderId="115" xfId="6" applyNumberFormat="1" applyFont="1" applyFill="1" applyBorder="1" applyAlignment="1">
      <alignment vertical="center"/>
    </xf>
    <xf numFmtId="0" fontId="50" fillId="0" borderId="113" xfId="6" applyNumberFormat="1" applyFont="1" applyFill="1" applyBorder="1" applyAlignment="1">
      <alignment vertical="center"/>
    </xf>
    <xf numFmtId="177" fontId="51" fillId="0" borderId="113" xfId="7" applyNumberFormat="1" applyFont="1" applyFill="1" applyBorder="1" applyAlignment="1">
      <alignment vertical="center"/>
    </xf>
    <xf numFmtId="177" fontId="50" fillId="0" borderId="113" xfId="7" applyNumberFormat="1" applyFont="1" applyFill="1" applyBorder="1" applyAlignment="1">
      <alignment horizontal="right" vertical="center"/>
    </xf>
    <xf numFmtId="41" fontId="52" fillId="0" borderId="113" xfId="7" applyNumberFormat="1" applyFont="1" applyFill="1" applyBorder="1" applyAlignment="1">
      <alignment horizontal="left" vertical="center"/>
    </xf>
    <xf numFmtId="41" fontId="53" fillId="0" borderId="113" xfId="7" applyNumberFormat="1" applyFont="1" applyFill="1" applyBorder="1" applyAlignment="1">
      <alignment horizontal="center" vertical="center"/>
    </xf>
    <xf numFmtId="41" fontId="51" fillId="0" borderId="113" xfId="7" applyNumberFormat="1" applyFont="1" applyFill="1" applyBorder="1" applyAlignment="1">
      <alignment horizontal="right" vertical="center"/>
    </xf>
    <xf numFmtId="0" fontId="42" fillId="4" borderId="13" xfId="6" applyNumberFormat="1" applyFont="1" applyFill="1" applyBorder="1" applyAlignment="1">
      <alignment horizontal="center" vertical="center"/>
    </xf>
    <xf numFmtId="176" fontId="55" fillId="4" borderId="19" xfId="7" applyNumberFormat="1" applyFont="1" applyFill="1" applyBorder="1" applyAlignment="1">
      <alignment horizontal="right" vertical="center"/>
    </xf>
    <xf numFmtId="0" fontId="52" fillId="4" borderId="15" xfId="6" applyNumberFormat="1" applyFont="1" applyFill="1" applyBorder="1" applyAlignment="1">
      <alignment horizontal="left" vertical="center"/>
    </xf>
    <xf numFmtId="0" fontId="52" fillId="4" borderId="15" xfId="6" applyNumberFormat="1" applyFont="1" applyFill="1" applyBorder="1" applyAlignment="1">
      <alignment horizontal="center" vertical="center"/>
    </xf>
    <xf numFmtId="0" fontId="52" fillId="4" borderId="49" xfId="6" applyNumberFormat="1" applyFont="1" applyFill="1" applyBorder="1" applyAlignment="1">
      <alignment horizontal="center" vertical="center"/>
    </xf>
    <xf numFmtId="0" fontId="54" fillId="0" borderId="142" xfId="6" applyNumberFormat="1" applyFont="1" applyFill="1" applyBorder="1" applyAlignment="1">
      <alignment vertical="center"/>
    </xf>
    <xf numFmtId="0" fontId="54" fillId="0" borderId="143" xfId="6" applyNumberFormat="1" applyFont="1" applyFill="1" applyBorder="1" applyAlignment="1">
      <alignment vertical="center"/>
    </xf>
    <xf numFmtId="0" fontId="54" fillId="0" borderId="101" xfId="6" applyNumberFormat="1" applyFont="1" applyFill="1" applyBorder="1" applyAlignment="1">
      <alignment vertical="center"/>
    </xf>
    <xf numFmtId="0" fontId="42" fillId="0" borderId="26" xfId="6" applyNumberFormat="1" applyFont="1" applyFill="1" applyBorder="1" applyAlignment="1">
      <alignment vertical="center"/>
    </xf>
    <xf numFmtId="0" fontId="54" fillId="0" borderId="120" xfId="6" applyNumberFormat="1" applyFont="1" applyFill="1" applyBorder="1" applyAlignment="1">
      <alignment vertical="center"/>
    </xf>
    <xf numFmtId="0" fontId="54" fillId="0" borderId="121" xfId="6" applyNumberFormat="1" applyFont="1" applyFill="1" applyBorder="1" applyAlignment="1">
      <alignment vertical="center"/>
    </xf>
    <xf numFmtId="0" fontId="54" fillId="0" borderId="30" xfId="6" applyNumberFormat="1" applyFont="1" applyFill="1" applyBorder="1" applyAlignment="1">
      <alignment vertical="center"/>
    </xf>
    <xf numFmtId="0" fontId="42" fillId="0" borderId="37" xfId="6" applyNumberFormat="1" applyFont="1" applyFill="1" applyBorder="1" applyAlignment="1">
      <alignment vertical="center"/>
    </xf>
    <xf numFmtId="0" fontId="42" fillId="0" borderId="124" xfId="6" applyNumberFormat="1" applyFont="1" applyFill="1" applyBorder="1" applyAlignment="1">
      <alignment vertical="center"/>
    </xf>
    <xf numFmtId="0" fontId="42" fillId="0" borderId="118" xfId="6" applyNumberFormat="1" applyFont="1" applyFill="1" applyBorder="1" applyAlignment="1">
      <alignment vertical="center"/>
    </xf>
    <xf numFmtId="0" fontId="54" fillId="0" borderId="37" xfId="6" applyNumberFormat="1" applyFont="1" applyFill="1" applyBorder="1" applyAlignment="1">
      <alignment vertical="center"/>
    </xf>
    <xf numFmtId="0" fontId="54" fillId="0" borderId="118" xfId="6" applyNumberFormat="1" applyFont="1" applyFill="1" applyBorder="1" applyAlignment="1">
      <alignment vertical="center"/>
    </xf>
    <xf numFmtId="0" fontId="54" fillId="0" borderId="5" xfId="6" applyNumberFormat="1" applyFont="1" applyFill="1" applyBorder="1" applyAlignment="1">
      <alignment vertical="center"/>
    </xf>
    <xf numFmtId="0" fontId="42" fillId="0" borderId="37" xfId="6" applyNumberFormat="1" applyFont="1" applyFill="1" applyBorder="1" applyAlignment="1">
      <alignment vertical="center" wrapText="1"/>
    </xf>
    <xf numFmtId="0" fontId="42" fillId="0" borderId="16" xfId="6" applyNumberFormat="1" applyFont="1" applyFill="1" applyBorder="1" applyAlignment="1">
      <alignment vertical="center"/>
    </xf>
    <xf numFmtId="0" fontId="42" fillId="0" borderId="26" xfId="6" applyNumberFormat="1" applyFont="1" applyFill="1" applyBorder="1" applyAlignment="1">
      <alignment horizontal="center" vertical="center"/>
    </xf>
    <xf numFmtId="0" fontId="42" fillId="0" borderId="37" xfId="6" applyNumberFormat="1" applyFont="1" applyFill="1" applyBorder="1" applyAlignment="1">
      <alignment horizontal="center" vertical="center"/>
    </xf>
    <xf numFmtId="0" fontId="42" fillId="0" borderId="37" xfId="6" applyNumberFormat="1" applyFont="1" applyFill="1" applyBorder="1" applyAlignment="1">
      <alignment horizontal="center" vertical="center" wrapText="1"/>
    </xf>
    <xf numFmtId="0" fontId="42" fillId="0" borderId="118" xfId="6" applyNumberFormat="1" applyFont="1" applyFill="1" applyBorder="1" applyAlignment="1">
      <alignment horizontal="left" vertical="center"/>
    </xf>
    <xf numFmtId="0" fontId="42" fillId="0" borderId="5" xfId="6" applyNumberFormat="1" applyFont="1" applyFill="1" applyBorder="1" applyAlignment="1">
      <alignment vertical="center"/>
    </xf>
    <xf numFmtId="0" fontId="42" fillId="0" borderId="26" xfId="6" applyFont="1" applyFill="1" applyBorder="1" applyAlignment="1">
      <alignment vertical="center"/>
    </xf>
    <xf numFmtId="0" fontId="42" fillId="0" borderId="37" xfId="6" applyFont="1" applyFill="1" applyBorder="1" applyAlignment="1">
      <alignment vertical="center"/>
    </xf>
    <xf numFmtId="0" fontId="42" fillId="0" borderId="16" xfId="6" applyFont="1" applyFill="1" applyBorder="1" applyAlignment="1">
      <alignment vertical="center"/>
    </xf>
    <xf numFmtId="0" fontId="54" fillId="0" borderId="26" xfId="6" applyNumberFormat="1" applyFont="1" applyFill="1" applyBorder="1" applyAlignment="1">
      <alignment vertical="center"/>
    </xf>
    <xf numFmtId="0" fontId="49" fillId="0" borderId="0" xfId="6" applyNumberFormat="1" applyFont="1" applyBorder="1" applyAlignment="1">
      <alignment vertical="center"/>
    </xf>
    <xf numFmtId="0" fontId="56" fillId="0" borderId="151" xfId="5" applyFont="1" applyBorder="1" applyAlignment="1">
      <alignment vertical="center"/>
    </xf>
    <xf numFmtId="0" fontId="42" fillId="0" borderId="151" xfId="5" applyFont="1" applyBorder="1" applyAlignment="1">
      <alignment vertical="center"/>
    </xf>
    <xf numFmtId="0" fontId="56" fillId="0" borderId="0" xfId="5" applyFont="1" applyBorder="1" applyAlignment="1">
      <alignment vertical="center"/>
    </xf>
    <xf numFmtId="0" fontId="56" fillId="0" borderId="147" xfId="5" applyFont="1" applyBorder="1" applyAlignment="1">
      <alignment vertical="center"/>
    </xf>
    <xf numFmtId="0" fontId="56" fillId="0" borderId="37" xfId="5" applyFont="1" applyBorder="1" applyAlignment="1">
      <alignment vertical="center"/>
    </xf>
    <xf numFmtId="0" fontId="42" fillId="0" borderId="147" xfId="5" applyFont="1" applyBorder="1" applyAlignment="1">
      <alignment vertical="center"/>
    </xf>
    <xf numFmtId="0" fontId="42" fillId="0" borderId="37" xfId="5" applyFont="1" applyBorder="1" applyAlignment="1">
      <alignment vertical="center"/>
    </xf>
    <xf numFmtId="0" fontId="42" fillId="0" borderId="16" xfId="5" applyFont="1" applyBorder="1" applyAlignment="1">
      <alignment vertical="center"/>
    </xf>
    <xf numFmtId="0" fontId="42" fillId="0" borderId="147" xfId="6" applyNumberFormat="1" applyFont="1" applyFill="1" applyBorder="1" applyAlignment="1">
      <alignment vertical="center"/>
    </xf>
    <xf numFmtId="0" fontId="42" fillId="0" borderId="36" xfId="6" applyNumberFormat="1" applyFont="1" applyFill="1" applyBorder="1" applyAlignment="1">
      <alignment vertical="center" wrapText="1"/>
    </xf>
    <xf numFmtId="0" fontId="42" fillId="0" borderId="16" xfId="6" applyNumberFormat="1" applyFont="1" applyFill="1" applyBorder="1" applyAlignment="1">
      <alignment vertical="center" wrapText="1"/>
    </xf>
    <xf numFmtId="0" fontId="42" fillId="0" borderId="29" xfId="6" applyNumberFormat="1" applyFont="1" applyFill="1" applyBorder="1" applyAlignment="1">
      <alignment vertical="center" wrapText="1"/>
    </xf>
    <xf numFmtId="0" fontId="42" fillId="0" borderId="154" xfId="6" applyNumberFormat="1" applyFont="1" applyFill="1" applyBorder="1" applyAlignment="1">
      <alignment vertical="center"/>
    </xf>
    <xf numFmtId="0" fontId="54" fillId="0" borderId="16" xfId="6" applyNumberFormat="1" applyFont="1" applyFill="1" applyBorder="1" applyAlignment="1">
      <alignment vertical="center"/>
    </xf>
    <xf numFmtId="0" fontId="42" fillId="0" borderId="26" xfId="6" applyFont="1" applyFill="1" applyBorder="1" applyAlignment="1">
      <alignment horizontal="center" vertical="center"/>
    </xf>
    <xf numFmtId="0" fontId="42" fillId="0" borderId="37" xfId="6" applyFont="1" applyFill="1" applyBorder="1" applyAlignment="1">
      <alignment horizontal="center" vertical="center"/>
    </xf>
    <xf numFmtId="0" fontId="42" fillId="0" borderId="37" xfId="6" applyFont="1" applyFill="1" applyBorder="1" applyAlignment="1">
      <alignment horizontal="center" vertical="center" wrapText="1"/>
    </xf>
    <xf numFmtId="0" fontId="42" fillId="0" borderId="5" xfId="6" applyFont="1" applyFill="1" applyBorder="1" applyAlignment="1">
      <alignment horizontal="center" vertical="center"/>
    </xf>
    <xf numFmtId="0" fontId="42" fillId="0" borderId="37" xfId="5" applyNumberFormat="1" applyFont="1" applyFill="1" applyBorder="1" applyAlignment="1">
      <alignment horizontal="left" vertical="center" wrapText="1"/>
    </xf>
    <xf numFmtId="0" fontId="42" fillId="0" borderId="37" xfId="5" applyNumberFormat="1" applyFont="1" applyFill="1" applyBorder="1" applyAlignment="1">
      <alignment horizontal="left" vertical="center"/>
    </xf>
    <xf numFmtId="0" fontId="42" fillId="0" borderId="118" xfId="5" applyNumberFormat="1" applyFont="1" applyFill="1" applyBorder="1" applyAlignment="1">
      <alignment horizontal="left" vertical="center"/>
    </xf>
    <xf numFmtId="0" fontId="42" fillId="0" borderId="37" xfId="5" applyNumberFormat="1" applyFont="1" applyFill="1" applyBorder="1" applyAlignment="1">
      <alignment vertical="center" wrapText="1"/>
    </xf>
    <xf numFmtId="0" fontId="42" fillId="0" borderId="37" xfId="5" applyNumberFormat="1" applyFont="1" applyFill="1" applyBorder="1" applyAlignment="1">
      <alignment vertical="center"/>
    </xf>
    <xf numFmtId="0" fontId="42" fillId="0" borderId="37" xfId="5" applyNumberFormat="1" applyFont="1" applyFill="1" applyBorder="1" applyAlignment="1">
      <alignment vertical="top" wrapText="1"/>
    </xf>
    <xf numFmtId="0" fontId="42" fillId="0" borderId="37" xfId="5" applyNumberFormat="1" applyFont="1" applyFill="1" applyBorder="1" applyAlignment="1">
      <alignment vertical="top"/>
    </xf>
    <xf numFmtId="0" fontId="42" fillId="0" borderId="0" xfId="6" applyNumberFormat="1" applyFont="1" applyFill="1" applyBorder="1" applyAlignment="1">
      <alignment vertical="center"/>
    </xf>
    <xf numFmtId="180" fontId="38" fillId="0" borderId="120" xfId="5" applyNumberFormat="1" applyFont="1" applyFill="1" applyBorder="1" applyAlignment="1">
      <alignment vertical="center"/>
    </xf>
    <xf numFmtId="0" fontId="42" fillId="0" borderId="0" xfId="6" applyNumberFormat="1" applyFont="1" applyBorder="1" applyAlignment="1">
      <alignment vertical="center"/>
    </xf>
    <xf numFmtId="0" fontId="54" fillId="0" borderId="155" xfId="6" applyNumberFormat="1" applyFont="1" applyFill="1" applyBorder="1" applyAlignment="1">
      <alignment vertical="center"/>
    </xf>
    <xf numFmtId="0" fontId="42" fillId="0" borderId="120" xfId="6" applyNumberFormat="1" applyFont="1" applyFill="1" applyBorder="1" applyAlignment="1">
      <alignment vertical="center"/>
    </xf>
    <xf numFmtId="0" fontId="42" fillId="0" borderId="30" xfId="6" applyNumberFormat="1" applyFont="1" applyFill="1" applyBorder="1" applyAlignment="1">
      <alignment vertical="center"/>
    </xf>
    <xf numFmtId="0" fontId="58" fillId="0" borderId="26" xfId="6" applyNumberFormat="1" applyFont="1" applyFill="1" applyBorder="1" applyAlignment="1">
      <alignment vertical="center"/>
    </xf>
    <xf numFmtId="0" fontId="58" fillId="0" borderId="37" xfId="6" applyNumberFormat="1" applyFont="1" applyFill="1" applyBorder="1" applyAlignment="1">
      <alignment vertical="center" wrapText="1"/>
    </xf>
    <xf numFmtId="0" fontId="37" fillId="0" borderId="37" xfId="6" applyNumberFormat="1" applyFont="1" applyFill="1" applyBorder="1" applyAlignment="1">
      <alignment vertical="top"/>
    </xf>
    <xf numFmtId="0" fontId="37" fillId="0" borderId="118" xfId="6" applyNumberFormat="1" applyFont="1" applyFill="1" applyBorder="1" applyAlignment="1">
      <alignment vertical="center"/>
    </xf>
    <xf numFmtId="0" fontId="37" fillId="0" borderId="37" xfId="6" applyNumberFormat="1" applyFont="1" applyFill="1" applyBorder="1" applyAlignment="1">
      <alignment vertical="center"/>
    </xf>
    <xf numFmtId="0" fontId="37" fillId="0" borderId="37" xfId="6" applyNumberFormat="1" applyFont="1" applyFill="1" applyBorder="1" applyAlignment="1">
      <alignment vertical="top" wrapText="1"/>
    </xf>
    <xf numFmtId="0" fontId="58" fillId="0" borderId="37" xfId="6" applyNumberFormat="1" applyFont="1" applyFill="1" applyBorder="1" applyAlignment="1">
      <alignment vertical="center"/>
    </xf>
    <xf numFmtId="0" fontId="36" fillId="0" borderId="118" xfId="6" applyNumberFormat="1" applyFont="1" applyFill="1" applyBorder="1" applyAlignment="1">
      <alignment vertical="center"/>
    </xf>
    <xf numFmtId="0" fontId="36" fillId="0" borderId="36" xfId="6" applyNumberFormat="1" applyFont="1" applyFill="1" applyBorder="1" applyAlignment="1">
      <alignment vertical="center"/>
    </xf>
    <xf numFmtId="0" fontId="59" fillId="0" borderId="26" xfId="4" applyNumberFormat="1" applyFont="1" applyFill="1" applyBorder="1" applyAlignment="1">
      <alignment vertical="center"/>
    </xf>
    <xf numFmtId="0" fontId="59" fillId="0" borderId="37" xfId="4" applyNumberFormat="1" applyFont="1" applyFill="1" applyBorder="1" applyAlignment="1">
      <alignment vertical="center" wrapText="1"/>
    </xf>
    <xf numFmtId="0" fontId="59" fillId="0" borderId="37" xfId="4" applyNumberFormat="1" applyFont="1" applyFill="1" applyBorder="1" applyAlignment="1">
      <alignment vertical="top" wrapText="1"/>
    </xf>
    <xf numFmtId="0" fontId="60" fillId="0" borderId="36" xfId="4" applyNumberFormat="1" applyFont="1" applyFill="1" applyBorder="1" applyAlignment="1">
      <alignment vertical="center" wrapText="1"/>
    </xf>
    <xf numFmtId="0" fontId="58" fillId="0" borderId="147" xfId="6" applyNumberFormat="1" applyFont="1" applyFill="1" applyBorder="1" applyAlignment="1">
      <alignment vertical="center" wrapText="1"/>
    </xf>
    <xf numFmtId="0" fontId="37" fillId="0" borderId="122" xfId="6" applyNumberFormat="1" applyFont="1" applyFill="1" applyBorder="1" applyAlignment="1">
      <alignment vertical="center" wrapText="1"/>
    </xf>
    <xf numFmtId="0" fontId="37" fillId="0" borderId="29" xfId="6" applyNumberFormat="1" applyFont="1" applyFill="1" applyBorder="1" applyAlignment="1">
      <alignment vertical="center" wrapText="1"/>
    </xf>
    <xf numFmtId="0" fontId="42" fillId="0" borderId="37" xfId="6" applyNumberFormat="1" applyFont="1" applyFill="1" applyBorder="1" applyAlignment="1">
      <alignment vertical="top" wrapText="1"/>
    </xf>
    <xf numFmtId="0" fontId="42" fillId="0" borderId="37" xfId="6" applyNumberFormat="1" applyFont="1" applyFill="1" applyBorder="1" applyAlignment="1">
      <alignment vertical="top"/>
    </xf>
    <xf numFmtId="0" fontId="54" fillId="0" borderId="149" xfId="6" applyNumberFormat="1" applyFont="1" applyFill="1" applyBorder="1" applyAlignment="1">
      <alignment vertical="center"/>
    </xf>
    <xf numFmtId="0" fontId="54" fillId="0" borderId="119" xfId="6" applyNumberFormat="1" applyFont="1" applyFill="1" applyBorder="1" applyAlignment="1">
      <alignment vertical="center"/>
    </xf>
    <xf numFmtId="0" fontId="54" fillId="0" borderId="156" xfId="6" applyNumberFormat="1" applyFont="1" applyFill="1" applyBorder="1" applyAlignment="1">
      <alignment vertical="center"/>
    </xf>
    <xf numFmtId="0" fontId="54" fillId="0" borderId="157" xfId="6" applyNumberFormat="1" applyFont="1" applyFill="1" applyBorder="1" applyAlignment="1">
      <alignment vertical="center"/>
    </xf>
    <xf numFmtId="0" fontId="42" fillId="0" borderId="121" xfId="6" applyNumberFormat="1" applyFont="1" applyFill="1" applyBorder="1" applyAlignment="1">
      <alignment vertical="center"/>
    </xf>
    <xf numFmtId="0" fontId="42" fillId="0" borderId="154" xfId="6" applyNumberFormat="1" applyFont="1" applyFill="1" applyBorder="1" applyAlignment="1">
      <alignment vertical="center" wrapText="1"/>
    </xf>
    <xf numFmtId="0" fontId="42" fillId="0" borderId="37" xfId="6" applyFont="1" applyFill="1" applyBorder="1" applyAlignment="1">
      <alignment vertical="center" wrapText="1"/>
    </xf>
    <xf numFmtId="0" fontId="42" fillId="0" borderId="124" xfId="6" applyFont="1" applyFill="1" applyBorder="1" applyAlignment="1">
      <alignment vertical="center"/>
    </xf>
    <xf numFmtId="0" fontId="42" fillId="0" borderId="36" xfId="6" applyFont="1" applyFill="1" applyBorder="1" applyAlignment="1">
      <alignment vertical="center"/>
    </xf>
    <xf numFmtId="0" fontId="42" fillId="0" borderId="22" xfId="6" applyNumberFormat="1" applyFont="1" applyFill="1" applyBorder="1" applyAlignment="1">
      <alignment vertical="center"/>
    </xf>
    <xf numFmtId="0" fontId="42" fillId="0" borderId="23" xfId="6" applyNumberFormat="1" applyFont="1" applyFill="1" applyBorder="1" applyAlignment="1">
      <alignment vertical="center"/>
    </xf>
    <xf numFmtId="0" fontId="42" fillId="0" borderId="23" xfId="6" applyNumberFormat="1" applyFont="1" applyFill="1" applyBorder="1" applyAlignment="1">
      <alignment vertical="center" wrapText="1"/>
    </xf>
    <xf numFmtId="41" fontId="52" fillId="0" borderId="123" xfId="7" applyNumberFormat="1" applyFont="1" applyFill="1" applyBorder="1" applyAlignment="1">
      <alignment horizontal="left" vertical="center"/>
    </xf>
    <xf numFmtId="41" fontId="52" fillId="0" borderId="123" xfId="7" applyNumberFormat="1" applyFont="1" applyFill="1" applyBorder="1" applyAlignment="1">
      <alignment horizontal="center" vertical="center"/>
    </xf>
    <xf numFmtId="0" fontId="52" fillId="0" borderId="0" xfId="7" applyNumberFormat="1" applyFont="1" applyFill="1" applyBorder="1" applyAlignment="1">
      <alignment horizontal="left" vertical="center"/>
    </xf>
    <xf numFmtId="41" fontId="53" fillId="0" borderId="0" xfId="7" applyNumberFormat="1" applyFont="1" applyFill="1" applyBorder="1" applyAlignment="1">
      <alignment horizontal="center" vertical="center"/>
    </xf>
    <xf numFmtId="0" fontId="55" fillId="0" borderId="121" xfId="6" applyNumberFormat="1" applyFont="1" applyFill="1" applyBorder="1" applyAlignment="1">
      <alignment horizontal="left" vertical="center" shrinkToFit="1"/>
    </xf>
    <xf numFmtId="0" fontId="55" fillId="0" borderId="121" xfId="6" applyNumberFormat="1" applyFont="1" applyFill="1" applyBorder="1" applyAlignment="1">
      <alignment horizontal="center" vertical="center"/>
    </xf>
    <xf numFmtId="0" fontId="52" fillId="0" borderId="123" xfId="8" applyNumberFormat="1" applyFont="1" applyFill="1" applyBorder="1" applyAlignment="1">
      <alignment horizontal="left" vertical="center" shrinkToFit="1"/>
    </xf>
    <xf numFmtId="0" fontId="52" fillId="0" borderId="123" xfId="6" applyNumberFormat="1" applyFont="1" applyFill="1" applyBorder="1" applyAlignment="1">
      <alignment horizontal="center" vertical="center"/>
    </xf>
    <xf numFmtId="0" fontId="55" fillId="0" borderId="0" xfId="6" applyNumberFormat="1" applyFont="1" applyBorder="1" applyAlignment="1">
      <alignment horizontal="left" vertical="center" shrinkToFit="1"/>
    </xf>
    <xf numFmtId="0" fontId="52" fillId="0" borderId="0" xfId="6" applyNumberFormat="1" applyFont="1" applyBorder="1" applyAlignment="1">
      <alignment horizontal="center" vertical="center" shrinkToFit="1"/>
    </xf>
    <xf numFmtId="0" fontId="37" fillId="0" borderId="0" xfId="6" applyNumberFormat="1" applyFont="1" applyFill="1" applyBorder="1" applyAlignment="1">
      <alignment horizontal="left" vertical="center" shrinkToFit="1"/>
    </xf>
    <xf numFmtId="0" fontId="37" fillId="0" borderId="0" xfId="6" applyNumberFormat="1" applyFont="1" applyFill="1" applyBorder="1" applyAlignment="1">
      <alignment horizontal="center" vertical="center" shrinkToFit="1"/>
    </xf>
    <xf numFmtId="0" fontId="37" fillId="0" borderId="0" xfId="7" applyNumberFormat="1" applyFont="1" applyFill="1" applyBorder="1" applyAlignment="1">
      <alignment horizontal="left" vertical="center"/>
    </xf>
    <xf numFmtId="0" fontId="37" fillId="0" borderId="0" xfId="6" applyNumberFormat="1" applyFont="1" applyFill="1" applyBorder="1" applyAlignment="1">
      <alignment horizontal="center" vertical="center"/>
    </xf>
    <xf numFmtId="0" fontId="52" fillId="0" borderId="0" xfId="6" applyNumberFormat="1" applyFont="1" applyFill="1" applyBorder="1" applyAlignment="1">
      <alignment horizontal="left" vertical="center" shrinkToFit="1"/>
    </xf>
    <xf numFmtId="0" fontId="37" fillId="0" borderId="0" xfId="7" quotePrefix="1" applyNumberFormat="1" applyFont="1" applyFill="1" applyBorder="1" applyAlignment="1">
      <alignment horizontal="left" vertical="center"/>
    </xf>
    <xf numFmtId="0" fontId="52" fillId="0" borderId="0" xfId="5" applyNumberFormat="1" applyFont="1" applyFill="1" applyBorder="1" applyAlignment="1">
      <alignment horizontal="left" vertical="center" shrinkToFit="1"/>
    </xf>
    <xf numFmtId="0" fontId="37" fillId="0" borderId="0" xfId="5" applyNumberFormat="1" applyFont="1" applyFill="1" applyBorder="1" applyAlignment="1">
      <alignment horizontal="center" vertical="center"/>
    </xf>
    <xf numFmtId="0" fontId="52" fillId="0" borderId="0" xfId="6" applyNumberFormat="1" applyFont="1" applyFill="1" applyBorder="1" applyAlignment="1">
      <alignment horizontal="center" vertical="center"/>
    </xf>
    <xf numFmtId="0" fontId="52" fillId="0" borderId="0" xfId="6" applyNumberFormat="1" applyFont="1" applyBorder="1" applyAlignment="1">
      <alignment horizontal="center" vertical="center"/>
    </xf>
    <xf numFmtId="0" fontId="52" fillId="0" borderId="0" xfId="6" applyNumberFormat="1" applyFont="1" applyFill="1" applyBorder="1" applyAlignment="1">
      <alignment vertical="center" shrinkToFit="1"/>
    </xf>
    <xf numFmtId="0" fontId="55" fillId="0" borderId="0" xfId="6" applyNumberFormat="1" applyFont="1" applyFill="1" applyBorder="1" applyAlignment="1">
      <alignment horizontal="left" vertical="center" shrinkToFit="1"/>
    </xf>
    <xf numFmtId="0" fontId="37" fillId="0" borderId="0" xfId="6" quotePrefix="1" applyNumberFormat="1" applyFont="1" applyFill="1" applyBorder="1" applyAlignment="1">
      <alignment horizontal="center" vertical="center" shrinkToFit="1"/>
    </xf>
    <xf numFmtId="49" fontId="37" fillId="0" borderId="0" xfId="6" applyNumberFormat="1" applyFont="1" applyFill="1" applyBorder="1" applyAlignment="1">
      <alignment horizontal="center" vertical="center" shrinkToFit="1"/>
    </xf>
    <xf numFmtId="0" fontId="37" fillId="0" borderId="0" xfId="5" applyNumberFormat="1" applyFont="1" applyFill="1" applyBorder="1" applyAlignment="1">
      <alignment horizontal="left" vertical="center"/>
    </xf>
    <xf numFmtId="0" fontId="52" fillId="0" borderId="0" xfId="5" applyNumberFormat="1" applyFont="1" applyFill="1" applyBorder="1" applyAlignment="1">
      <alignment horizontal="justify" vertical="center" wrapText="1"/>
    </xf>
    <xf numFmtId="0" fontId="52" fillId="0" borderId="0" xfId="6" quotePrefix="1" applyNumberFormat="1" applyFont="1" applyFill="1" applyBorder="1" applyAlignment="1">
      <alignment horizontal="center" vertical="center" shrinkToFit="1"/>
    </xf>
    <xf numFmtId="0" fontId="52" fillId="0" borderId="0" xfId="5" applyNumberFormat="1" applyFont="1" applyFill="1" applyBorder="1" applyAlignment="1">
      <alignment vertical="center" shrinkToFit="1"/>
    </xf>
    <xf numFmtId="0" fontId="52" fillId="0" borderId="0" xfId="5" quotePrefix="1" applyNumberFormat="1" applyFont="1" applyFill="1" applyBorder="1" applyAlignment="1">
      <alignment horizontal="center" vertical="center" shrinkToFit="1"/>
    </xf>
    <xf numFmtId="0" fontId="55" fillId="0" borderId="0" xfId="5" quotePrefix="1" applyNumberFormat="1" applyFont="1" applyFill="1" applyBorder="1" applyAlignment="1">
      <alignment horizontal="center" vertical="center" shrinkToFit="1"/>
    </xf>
    <xf numFmtId="0" fontId="55" fillId="0" borderId="149" xfId="6" applyNumberFormat="1" applyFont="1" applyFill="1" applyBorder="1" applyAlignment="1">
      <alignment horizontal="left" vertical="center"/>
    </xf>
    <xf numFmtId="0" fontId="52" fillId="0" borderId="149" xfId="6" quotePrefix="1" applyNumberFormat="1" applyFont="1" applyFill="1" applyBorder="1" applyAlignment="1">
      <alignment horizontal="center" vertical="center" shrinkToFit="1"/>
    </xf>
    <xf numFmtId="0" fontId="52" fillId="0" borderId="149" xfId="6" applyNumberFormat="1" applyFont="1" applyFill="1" applyBorder="1" applyAlignment="1">
      <alignment horizontal="center" vertical="center"/>
    </xf>
    <xf numFmtId="0" fontId="55" fillId="0" borderId="149" xfId="6" applyNumberFormat="1" applyFont="1" applyFill="1" applyBorder="1" applyAlignment="1">
      <alignment horizontal="left" vertical="center" shrinkToFit="1"/>
    </xf>
    <xf numFmtId="0" fontId="37" fillId="0" borderId="0" xfId="5" applyNumberFormat="1" applyFont="1" applyFill="1" applyBorder="1" applyAlignment="1">
      <alignment horizontal="left" vertical="center" shrinkToFit="1"/>
    </xf>
    <xf numFmtId="0" fontId="52" fillId="0" borderId="149" xfId="6" applyNumberFormat="1" applyFont="1" applyFill="1" applyBorder="1" applyAlignment="1">
      <alignment horizontal="center" vertical="center" shrinkToFit="1"/>
    </xf>
    <xf numFmtId="0" fontId="52" fillId="0" borderId="0" xfId="6" applyNumberFormat="1" applyFont="1" applyFill="1" applyBorder="1" applyAlignment="1">
      <alignment horizontal="left" vertical="center"/>
    </xf>
    <xf numFmtId="49" fontId="52" fillId="0" borderId="0" xfId="5" applyNumberFormat="1" applyFont="1" applyFill="1" applyBorder="1" applyAlignment="1">
      <alignment horizontal="left" vertical="center"/>
    </xf>
    <xf numFmtId="0" fontId="52" fillId="0" borderId="0" xfId="6" applyNumberFormat="1" applyFont="1" applyFill="1" applyBorder="1" applyAlignment="1">
      <alignment horizontal="center" vertical="center" shrinkToFit="1"/>
    </xf>
    <xf numFmtId="0" fontId="52" fillId="0" borderId="0" xfId="5" applyNumberFormat="1" applyFont="1" applyFill="1" applyBorder="1" applyAlignment="1">
      <alignment horizontal="left" vertical="center"/>
    </xf>
    <xf numFmtId="0" fontId="52" fillId="0" borderId="0" xfId="6" applyNumberFormat="1" applyFont="1" applyFill="1" applyBorder="1" applyAlignment="1">
      <alignment vertical="center"/>
    </xf>
    <xf numFmtId="0" fontId="52" fillId="0" borderId="0" xfId="6" quotePrefix="1" applyNumberFormat="1" applyFont="1" applyFill="1" applyBorder="1" applyAlignment="1">
      <alignment vertical="center" shrinkToFit="1"/>
    </xf>
    <xf numFmtId="0" fontId="61" fillId="0" borderId="0" xfId="6" applyNumberFormat="1" applyFont="1" applyFill="1" applyBorder="1" applyAlignment="1">
      <alignment vertical="center" shrinkToFit="1"/>
    </xf>
    <xf numFmtId="0" fontId="37" fillId="0" borderId="0" xfId="6" quotePrefix="1" applyNumberFormat="1" applyFont="1" applyFill="1" applyBorder="1" applyAlignment="1">
      <alignment horizontal="center" vertical="center"/>
    </xf>
    <xf numFmtId="0" fontId="37" fillId="0" borderId="0" xfId="5" applyNumberFormat="1" applyFont="1" applyFill="1" applyBorder="1" applyAlignment="1">
      <alignment horizontal="center" vertical="center" shrinkToFit="1"/>
    </xf>
    <xf numFmtId="0" fontId="52" fillId="0" borderId="0" xfId="6" applyNumberFormat="1" applyFont="1" applyFill="1" applyBorder="1" applyAlignment="1">
      <alignment horizontal="left" vertical="center" wrapText="1" shrinkToFit="1"/>
    </xf>
    <xf numFmtId="0" fontId="52" fillId="0" borderId="0" xfId="6" applyNumberFormat="1" applyFont="1" applyFill="1" applyBorder="1" applyAlignment="1">
      <alignment horizontal="center" vertical="top" wrapText="1"/>
    </xf>
    <xf numFmtId="0" fontId="52" fillId="0" borderId="121" xfId="7" applyNumberFormat="1" applyFont="1" applyFill="1" applyBorder="1" applyAlignment="1">
      <alignment horizontal="left" vertical="center" shrinkToFit="1"/>
    </xf>
    <xf numFmtId="0" fontId="52" fillId="0" borderId="121" xfId="7" applyNumberFormat="1" applyFont="1" applyFill="1" applyBorder="1" applyAlignment="1">
      <alignment horizontal="center" vertical="center" shrinkToFit="1"/>
    </xf>
    <xf numFmtId="0" fontId="55" fillId="0" borderId="0" xfId="7" applyNumberFormat="1" applyFont="1" applyFill="1" applyBorder="1" applyAlignment="1">
      <alignment horizontal="left" vertical="center" shrinkToFit="1"/>
    </xf>
    <xf numFmtId="0" fontId="52" fillId="0" borderId="0" xfId="7" applyNumberFormat="1" applyFont="1" applyFill="1" applyBorder="1" applyAlignment="1">
      <alignment horizontal="center" vertical="center" shrinkToFit="1"/>
    </xf>
    <xf numFmtId="0" fontId="52" fillId="0" borderId="121" xfId="6" applyNumberFormat="1" applyFont="1" applyFill="1" applyBorder="1" applyAlignment="1">
      <alignment horizontal="center" vertical="center"/>
    </xf>
    <xf numFmtId="0" fontId="52" fillId="0" borderId="123" xfId="6" applyFont="1" applyFill="1" applyBorder="1" applyAlignment="1">
      <alignment horizontal="left" vertical="center" shrinkToFit="1"/>
    </xf>
    <xf numFmtId="0" fontId="37" fillId="0" borderId="123" xfId="6" applyFont="1" applyFill="1" applyBorder="1" applyAlignment="1">
      <alignment horizontal="center" vertical="center"/>
    </xf>
    <xf numFmtId="0" fontId="52" fillId="0" borderId="121" xfId="6" applyNumberFormat="1" applyFont="1" applyFill="1" applyBorder="1" applyAlignment="1">
      <alignment horizontal="left" vertical="center" shrinkToFit="1"/>
    </xf>
    <xf numFmtId="0" fontId="52" fillId="0" borderId="121" xfId="6" applyNumberFormat="1" applyFont="1" applyFill="1" applyBorder="1" applyAlignment="1">
      <alignment horizontal="center" vertical="center" shrinkToFit="1"/>
    </xf>
    <xf numFmtId="0" fontId="52" fillId="0" borderId="0" xfId="6" applyFont="1" applyFill="1" applyBorder="1" applyAlignment="1">
      <alignment horizontal="left" vertical="center" shrinkToFit="1"/>
    </xf>
    <xf numFmtId="0" fontId="52" fillId="0" borderId="123" xfId="6" applyNumberFormat="1" applyFont="1" applyFill="1" applyBorder="1" applyAlignment="1">
      <alignment horizontal="left" vertical="center" shrinkToFit="1"/>
    </xf>
    <xf numFmtId="0" fontId="37" fillId="0" borderId="123" xfId="6" applyNumberFormat="1" applyFont="1" applyFill="1" applyBorder="1" applyAlignment="1">
      <alignment horizontal="center" vertical="center"/>
    </xf>
    <xf numFmtId="0" fontId="38" fillId="0" borderId="0" xfId="6" applyNumberFormat="1" applyFont="1" applyFill="1" applyBorder="1" applyAlignment="1">
      <alignment horizontal="left" vertical="center" shrinkToFit="1"/>
    </xf>
    <xf numFmtId="0" fontId="63" fillId="0" borderId="158" xfId="5" applyFont="1" applyBorder="1" applyAlignment="1">
      <alignment horizontal="left" vertical="center" shrinkToFit="1"/>
    </xf>
    <xf numFmtId="0" fontId="63" fillId="0" borderId="158" xfId="5" applyFont="1" applyBorder="1" applyAlignment="1">
      <alignment horizontal="center" vertical="center"/>
    </xf>
    <xf numFmtId="0" fontId="63" fillId="0" borderId="123" xfId="5" applyFont="1" applyBorder="1" applyAlignment="1">
      <alignment horizontal="left" vertical="center" shrinkToFit="1"/>
    </xf>
    <xf numFmtId="0" fontId="63" fillId="0" borderId="123" xfId="5" applyFont="1" applyBorder="1" applyAlignment="1">
      <alignment horizontal="center" vertical="center"/>
    </xf>
    <xf numFmtId="0" fontId="63" fillId="0" borderId="149" xfId="5" applyFont="1" applyBorder="1" applyAlignment="1">
      <alignment horizontal="center" vertical="center"/>
    </xf>
    <xf numFmtId="0" fontId="63" fillId="0" borderId="0" xfId="5" applyFont="1" applyBorder="1" applyAlignment="1">
      <alignment horizontal="left" vertical="center" shrinkToFit="1"/>
    </xf>
    <xf numFmtId="0" fontId="55" fillId="0" borderId="0" xfId="6" applyNumberFormat="1" applyFont="1" applyFill="1" applyBorder="1" applyAlignment="1">
      <alignment horizontal="center" vertical="center"/>
    </xf>
    <xf numFmtId="0" fontId="52" fillId="0" borderId="123" xfId="6" applyNumberFormat="1" applyFont="1" applyFill="1" applyBorder="1" applyAlignment="1">
      <alignment vertical="center" shrinkToFit="1"/>
    </xf>
    <xf numFmtId="49" fontId="52" fillId="0" borderId="0" xfId="6" applyNumberFormat="1" applyFont="1" applyFill="1" applyBorder="1" applyAlignment="1">
      <alignment vertical="center" shrinkToFit="1"/>
    </xf>
    <xf numFmtId="176" fontId="52" fillId="0" borderId="121" xfId="6" applyNumberFormat="1" applyFont="1" applyFill="1" applyBorder="1" applyAlignment="1">
      <alignment horizontal="center" vertical="center"/>
    </xf>
    <xf numFmtId="180" fontId="52" fillId="0" borderId="0" xfId="6" applyNumberFormat="1" applyFont="1" applyFill="1" applyBorder="1" applyAlignment="1">
      <alignment horizontal="center" vertical="center"/>
    </xf>
    <xf numFmtId="0" fontId="52" fillId="0" borderId="121" xfId="7" applyNumberFormat="1" applyFont="1" applyFill="1" applyBorder="1" applyAlignment="1">
      <alignment horizontal="left" vertical="center"/>
    </xf>
    <xf numFmtId="41" fontId="53" fillId="0" borderId="121" xfId="7" applyNumberFormat="1" applyFont="1" applyFill="1" applyBorder="1" applyAlignment="1">
      <alignment horizontal="center" vertical="center"/>
    </xf>
    <xf numFmtId="0" fontId="55" fillId="0" borderId="149" xfId="6" applyNumberFormat="1" applyFont="1" applyFill="1" applyBorder="1" applyAlignment="1">
      <alignment horizontal="center" vertical="center" shrinkToFit="1"/>
    </xf>
    <xf numFmtId="0" fontId="38" fillId="0" borderId="0" xfId="6" applyNumberFormat="1" applyFont="1" applyFill="1" applyBorder="1" applyAlignment="1">
      <alignment horizontal="center" vertical="center" shrinkToFit="1"/>
    </xf>
    <xf numFmtId="0" fontId="37" fillId="0" borderId="121" xfId="6" applyFont="1" applyFill="1" applyBorder="1" applyAlignment="1">
      <alignment horizontal="left" vertical="center" shrinkToFit="1"/>
    </xf>
    <xf numFmtId="0" fontId="37" fillId="0" borderId="121" xfId="6" applyFont="1" applyFill="1" applyBorder="1" applyAlignment="1">
      <alignment horizontal="center" vertical="center" shrinkToFit="1"/>
    </xf>
    <xf numFmtId="0" fontId="55" fillId="0" borderId="159" xfId="5" applyNumberFormat="1" applyFont="1" applyFill="1" applyBorder="1" applyAlignment="1">
      <alignment vertical="center" shrinkToFit="1"/>
    </xf>
    <xf numFmtId="0" fontId="52" fillId="0" borderId="159" xfId="6" applyNumberFormat="1" applyFont="1" applyFill="1" applyBorder="1" applyAlignment="1">
      <alignment horizontal="center" vertical="center"/>
    </xf>
    <xf numFmtId="0" fontId="55" fillId="0" borderId="160" xfId="5" applyNumberFormat="1" applyFont="1" applyFill="1" applyBorder="1" applyAlignment="1">
      <alignment vertical="center" shrinkToFit="1"/>
    </xf>
    <xf numFmtId="0" fontId="52" fillId="0" borderId="160" xfId="6" applyNumberFormat="1" applyFont="1" applyFill="1" applyBorder="1" applyAlignment="1">
      <alignment horizontal="center" vertical="center"/>
    </xf>
    <xf numFmtId="0" fontId="52" fillId="0" borderId="0" xfId="5" applyNumberFormat="1" applyFont="1" applyFill="1" applyBorder="1" applyAlignment="1">
      <alignment vertical="center" wrapText="1" shrinkToFit="1"/>
    </xf>
    <xf numFmtId="0" fontId="52" fillId="0" borderId="121" xfId="8" applyNumberFormat="1" applyFont="1" applyFill="1" applyBorder="1" applyAlignment="1">
      <alignment horizontal="left" vertical="center" shrinkToFit="1"/>
    </xf>
    <xf numFmtId="0" fontId="52" fillId="0" borderId="121" xfId="5" applyNumberFormat="1" applyFont="1" applyFill="1" applyBorder="1" applyAlignment="1">
      <alignment horizontal="center" vertical="center"/>
    </xf>
    <xf numFmtId="0" fontId="55" fillId="0" borderId="0" xfId="5" applyNumberFormat="1" applyFont="1" applyFill="1" applyBorder="1" applyAlignment="1">
      <alignment horizontal="left" vertical="center" shrinkToFit="1"/>
    </xf>
    <xf numFmtId="0" fontId="52" fillId="0" borderId="0" xfId="5" applyNumberFormat="1" applyFont="1" applyFill="1" applyBorder="1" applyAlignment="1">
      <alignment horizontal="center" vertical="center" shrinkToFit="1"/>
    </xf>
    <xf numFmtId="0" fontId="52" fillId="0" borderId="0" xfId="5" applyNumberFormat="1" applyFont="1" applyFill="1" applyBorder="1">
      <alignment vertical="center"/>
    </xf>
    <xf numFmtId="0" fontId="38" fillId="0" borderId="121" xfId="7" applyNumberFormat="1" applyFont="1" applyFill="1" applyBorder="1" applyAlignment="1">
      <alignment vertical="center"/>
    </xf>
    <xf numFmtId="0" fontId="55" fillId="0" borderId="123" xfId="7" applyNumberFormat="1" applyFont="1" applyFill="1" applyBorder="1" applyAlignment="1">
      <alignment horizontal="left" vertical="center"/>
    </xf>
    <xf numFmtId="0" fontId="52" fillId="0" borderId="123" xfId="7" applyNumberFormat="1" applyFont="1" applyFill="1" applyBorder="1" applyAlignment="1">
      <alignment horizontal="center" vertical="center"/>
    </xf>
    <xf numFmtId="0" fontId="38" fillId="0" borderId="0" xfId="7" applyNumberFormat="1" applyFont="1" applyFill="1" applyBorder="1" applyAlignment="1">
      <alignment horizontal="left" vertical="center"/>
    </xf>
    <xf numFmtId="0" fontId="37" fillId="0" borderId="0" xfId="7" applyNumberFormat="1" applyFont="1" applyFill="1" applyBorder="1" applyAlignment="1">
      <alignment horizontal="center" vertical="center"/>
    </xf>
    <xf numFmtId="0" fontId="52" fillId="0" borderId="0" xfId="7" applyNumberFormat="1" applyFont="1" applyFill="1" applyBorder="1" applyAlignment="1">
      <alignment horizontal="center" vertical="center"/>
    </xf>
    <xf numFmtId="0" fontId="38" fillId="0" borderId="0" xfId="7" applyNumberFormat="1" applyFont="1" applyFill="1" applyBorder="1" applyAlignment="1">
      <alignment horizontal="center" vertical="center"/>
    </xf>
    <xf numFmtId="0" fontId="55" fillId="0" borderId="0" xfId="7" applyNumberFormat="1" applyFont="1" applyFill="1" applyBorder="1" applyAlignment="1">
      <alignment horizontal="left" vertical="center"/>
    </xf>
    <xf numFmtId="0" fontId="55" fillId="0" borderId="0" xfId="7" applyNumberFormat="1" applyFont="1" applyFill="1" applyBorder="1" applyAlignment="1">
      <alignment horizontal="center" vertical="center"/>
    </xf>
    <xf numFmtId="0" fontId="38" fillId="0" borderId="149" xfId="6" applyNumberFormat="1" applyFont="1" applyFill="1" applyBorder="1" applyAlignment="1">
      <alignment horizontal="left" vertical="center"/>
    </xf>
    <xf numFmtId="0" fontId="37" fillId="0" borderId="149" xfId="6" applyNumberFormat="1" applyFont="1" applyFill="1" applyBorder="1" applyAlignment="1">
      <alignment horizontal="center" vertical="center"/>
    </xf>
    <xf numFmtId="0" fontId="52" fillId="0" borderId="0" xfId="7" quotePrefix="1" applyNumberFormat="1" applyFont="1" applyFill="1" applyBorder="1" applyAlignment="1">
      <alignment horizontal="left" vertical="center"/>
    </xf>
    <xf numFmtId="0" fontId="58" fillId="0" borderId="149" xfId="6" applyNumberFormat="1" applyFont="1" applyBorder="1" applyAlignment="1">
      <alignment vertical="center"/>
    </xf>
    <xf numFmtId="0" fontId="52" fillId="0" borderId="0" xfId="5" quotePrefix="1" applyNumberFormat="1" applyFont="1" applyFill="1" applyBorder="1" applyAlignment="1">
      <alignment horizontal="justify" vertical="center" wrapText="1"/>
    </xf>
    <xf numFmtId="0" fontId="52" fillId="0" borderId="0" xfId="9" applyFont="1" applyFill="1" applyBorder="1" applyAlignment="1">
      <alignment horizontal="center" vertical="center" shrinkToFit="1"/>
    </xf>
    <xf numFmtId="0" fontId="52" fillId="0" borderId="0" xfId="5" quotePrefix="1" applyFont="1" applyFill="1" applyBorder="1" applyAlignment="1">
      <alignment horizontal="justify" vertical="center" wrapText="1"/>
    </xf>
    <xf numFmtId="0" fontId="42" fillId="0" borderId="0" xfId="5" quotePrefix="1" applyFont="1" applyFill="1" applyBorder="1" applyAlignment="1">
      <alignment horizontal="justify" vertical="center"/>
    </xf>
    <xf numFmtId="0" fontId="37" fillId="0" borderId="123" xfId="6" applyNumberFormat="1" applyFont="1" applyFill="1" applyBorder="1" applyAlignment="1">
      <alignment horizontal="left" vertical="center" wrapText="1"/>
    </xf>
    <xf numFmtId="0" fontId="38" fillId="0" borderId="0" xfId="6" applyFont="1" applyFill="1" applyBorder="1" applyAlignment="1">
      <alignment horizontal="left" vertical="center" shrinkToFit="1"/>
    </xf>
    <xf numFmtId="0" fontId="37" fillId="0" borderId="0" xfId="6" applyFont="1" applyFill="1" applyBorder="1" applyAlignment="1">
      <alignment horizontal="center" vertical="center" shrinkToFit="1"/>
    </xf>
    <xf numFmtId="0" fontId="55" fillId="0" borderId="113" xfId="6" applyNumberFormat="1" applyFont="1" applyFill="1" applyBorder="1" applyAlignment="1">
      <alignment horizontal="left" vertical="center" shrinkToFit="1"/>
    </xf>
    <xf numFmtId="0" fontId="52" fillId="0" borderId="113" xfId="6" applyNumberFormat="1" applyFont="1" applyFill="1" applyBorder="1" applyAlignment="1">
      <alignment horizontal="center" vertical="center" shrinkToFit="1"/>
    </xf>
    <xf numFmtId="0" fontId="56" fillId="0" borderId="161" xfId="5" applyFont="1" applyBorder="1" applyAlignment="1">
      <alignment vertical="center"/>
    </xf>
    <xf numFmtId="0" fontId="63" fillId="0" borderId="0" xfId="5" applyFont="1" applyBorder="1" applyAlignment="1">
      <alignment horizontal="center" vertical="center"/>
    </xf>
    <xf numFmtId="0" fontId="56" fillId="0" borderId="124" xfId="5" applyFont="1" applyBorder="1" applyAlignment="1">
      <alignment vertical="center"/>
    </xf>
    <xf numFmtId="0" fontId="55" fillId="0" borderId="123" xfId="6" applyNumberFormat="1" applyFont="1" applyFill="1" applyBorder="1" applyAlignment="1">
      <alignment horizontal="left" vertical="center" shrinkToFit="1"/>
    </xf>
    <xf numFmtId="0" fontId="52" fillId="0" borderId="123" xfId="6" applyNumberFormat="1" applyFont="1" applyFill="1" applyBorder="1" applyAlignment="1">
      <alignment horizontal="center" vertical="center" shrinkToFit="1"/>
    </xf>
    <xf numFmtId="41" fontId="53" fillId="0" borderId="123" xfId="7" applyNumberFormat="1" applyFont="1" applyFill="1" applyBorder="1" applyAlignment="1">
      <alignment horizontal="center" vertical="center"/>
    </xf>
    <xf numFmtId="0" fontId="37" fillId="0" borderId="123" xfId="6" applyFont="1" applyFill="1" applyBorder="1" applyAlignment="1">
      <alignment horizontal="center" vertical="center" shrinkToFit="1"/>
    </xf>
    <xf numFmtId="0" fontId="52" fillId="0" borderId="123" xfId="7" applyNumberFormat="1" applyFont="1" applyFill="1" applyBorder="1" applyAlignment="1">
      <alignment horizontal="left" vertical="center"/>
    </xf>
    <xf numFmtId="41" fontId="52" fillId="0" borderId="121" xfId="7" applyNumberFormat="1" applyFont="1" applyFill="1" applyBorder="1" applyAlignment="1">
      <alignment horizontal="left" vertical="center"/>
    </xf>
    <xf numFmtId="41" fontId="52" fillId="0" borderId="121" xfId="7" applyNumberFormat="1" applyFont="1" applyFill="1" applyBorder="1" applyAlignment="1">
      <alignment horizontal="center" vertical="center"/>
    </xf>
    <xf numFmtId="0" fontId="52" fillId="0" borderId="113" xfId="6" applyNumberFormat="1" applyFont="1" applyFill="1" applyBorder="1" applyAlignment="1">
      <alignment vertical="center" shrinkToFit="1"/>
    </xf>
    <xf numFmtId="0" fontId="52" fillId="0" borderId="113" xfId="6" applyNumberFormat="1" applyFont="1" applyFill="1" applyBorder="1" applyAlignment="1">
      <alignment horizontal="center" vertical="center"/>
    </xf>
    <xf numFmtId="0" fontId="38" fillId="0" borderId="0" xfId="6" applyNumberFormat="1" applyFont="1" applyFill="1" applyBorder="1" applyAlignment="1">
      <alignment horizontal="left" vertical="center"/>
    </xf>
    <xf numFmtId="0" fontId="55" fillId="0" borderId="123" xfId="6" applyNumberFormat="1" applyFont="1" applyFill="1" applyBorder="1" applyAlignment="1">
      <alignment horizontal="left" vertical="center"/>
    </xf>
    <xf numFmtId="0" fontId="42" fillId="0" borderId="123" xfId="5" quotePrefix="1" applyFont="1" applyFill="1" applyBorder="1" applyAlignment="1">
      <alignment horizontal="justify" vertical="center"/>
    </xf>
    <xf numFmtId="0" fontId="52" fillId="0" borderId="123" xfId="9" applyFont="1" applyFill="1" applyBorder="1" applyAlignment="1">
      <alignment horizontal="center" vertical="center" shrinkToFit="1"/>
    </xf>
    <xf numFmtId="0" fontId="65" fillId="0" borderId="149" xfId="5" applyFont="1" applyBorder="1" applyAlignment="1">
      <alignment horizontal="left" vertical="center" shrinkToFit="1"/>
    </xf>
    <xf numFmtId="0" fontId="55" fillId="0" borderId="149" xfId="6" applyNumberFormat="1" applyFont="1" applyFill="1" applyBorder="1" applyAlignment="1">
      <alignment vertical="center" shrinkToFit="1"/>
    </xf>
    <xf numFmtId="0" fontId="42" fillId="0" borderId="163" xfId="5" applyFont="1" applyBorder="1" applyAlignment="1">
      <alignment vertical="center"/>
    </xf>
    <xf numFmtId="0" fontId="42" fillId="0" borderId="164" xfId="5" applyFont="1" applyBorder="1" applyAlignment="1">
      <alignment vertical="center"/>
    </xf>
    <xf numFmtId="0" fontId="42" fillId="0" borderId="162" xfId="5" applyFont="1" applyBorder="1" applyAlignment="1">
      <alignment vertical="center"/>
    </xf>
    <xf numFmtId="0" fontId="42" fillId="0" borderId="118" xfId="5" applyFont="1" applyBorder="1" applyAlignment="1">
      <alignment vertical="center" wrapText="1"/>
    </xf>
    <xf numFmtId="0" fontId="42" fillId="0" borderId="37" xfId="5" applyFont="1" applyBorder="1" applyAlignment="1">
      <alignment vertical="center" wrapText="1"/>
    </xf>
    <xf numFmtId="0" fontId="42" fillId="0" borderId="16" xfId="5" applyFont="1" applyBorder="1" applyAlignment="1">
      <alignment vertical="center" wrapText="1"/>
    </xf>
    <xf numFmtId="176" fontId="37" fillId="0" borderId="37" xfId="7" applyNumberFormat="1" applyFont="1" applyFill="1" applyBorder="1" applyAlignment="1">
      <alignment horizontal="right" vertical="center"/>
    </xf>
    <xf numFmtId="176" fontId="58" fillId="0" borderId="37" xfId="7" applyNumberFormat="1" applyFont="1" applyFill="1" applyBorder="1" applyAlignment="1">
      <alignment horizontal="right" vertical="center"/>
    </xf>
    <xf numFmtId="176" fontId="37" fillId="0" borderId="118" xfId="7" applyNumberFormat="1" applyFont="1" applyFill="1" applyBorder="1" applyAlignment="1">
      <alignment horizontal="right" vertical="center"/>
    </xf>
    <xf numFmtId="176" fontId="37" fillId="0" borderId="16" xfId="6" applyNumberFormat="1" applyFont="1" applyFill="1" applyBorder="1" applyAlignment="1">
      <alignment horizontal="right" vertical="center"/>
    </xf>
    <xf numFmtId="176" fontId="54" fillId="10" borderId="19" xfId="7" applyNumberFormat="1" applyFont="1" applyFill="1" applyBorder="1" applyAlignment="1">
      <alignment horizontal="right" vertical="center"/>
    </xf>
    <xf numFmtId="176" fontId="54" fillId="0" borderId="16" xfId="7" applyNumberFormat="1" applyFont="1" applyFill="1" applyBorder="1" applyAlignment="1">
      <alignment horizontal="right" vertical="center"/>
    </xf>
    <xf numFmtId="176" fontId="54" fillId="0" borderId="5" xfId="7" applyNumberFormat="1" applyFont="1" applyFill="1" applyBorder="1" applyAlignment="1">
      <alignment vertical="center"/>
    </xf>
    <xf numFmtId="176" fontId="54" fillId="0" borderId="5" xfId="7" applyNumberFormat="1" applyFont="1" applyFill="1" applyBorder="1" applyAlignment="1">
      <alignment horizontal="right" vertical="center"/>
    </xf>
    <xf numFmtId="176" fontId="42" fillId="0" borderId="16" xfId="7" applyNumberFormat="1" applyFont="1" applyFill="1" applyBorder="1" applyAlignment="1">
      <alignment horizontal="right" vertical="center"/>
    </xf>
    <xf numFmtId="176" fontId="42" fillId="0" borderId="37" xfId="7" applyNumberFormat="1" applyFont="1" applyFill="1" applyBorder="1" applyAlignment="1">
      <alignment horizontal="right" vertical="center"/>
    </xf>
    <xf numFmtId="176" fontId="42" fillId="0" borderId="37" xfId="7" applyNumberFormat="1" applyFont="1" applyFill="1" applyBorder="1" applyAlignment="1">
      <alignment vertical="center"/>
    </xf>
    <xf numFmtId="176" fontId="42" fillId="0" borderId="37" xfId="7" applyNumberFormat="1" applyFont="1" applyFill="1" applyBorder="1" applyAlignment="1">
      <alignment horizontal="right" vertical="top"/>
    </xf>
    <xf numFmtId="176" fontId="42" fillId="0" borderId="37" xfId="5" applyNumberFormat="1" applyFont="1" applyFill="1" applyBorder="1" applyAlignment="1"/>
    <xf numFmtId="176" fontId="42" fillId="0" borderId="118" xfId="7" applyNumberFormat="1" applyFont="1" applyFill="1" applyBorder="1" applyAlignment="1">
      <alignment vertical="center"/>
    </xf>
    <xf numFmtId="176" fontId="42" fillId="0" borderId="118" xfId="7" applyNumberFormat="1" applyFont="1" applyFill="1" applyBorder="1" applyAlignment="1">
      <alignment horizontal="right" vertical="center"/>
    </xf>
    <xf numFmtId="176" fontId="42" fillId="0" borderId="5" xfId="7" applyNumberFormat="1" applyFont="1" applyFill="1" applyBorder="1" applyAlignment="1">
      <alignment horizontal="right" vertical="center"/>
    </xf>
    <xf numFmtId="176" fontId="42" fillId="0" borderId="5" xfId="7" applyNumberFormat="1" applyFont="1" applyFill="1" applyBorder="1" applyAlignment="1">
      <alignment vertical="center"/>
    </xf>
    <xf numFmtId="176" fontId="42" fillId="0" borderId="118" xfId="10" applyNumberFormat="1" applyFont="1" applyFill="1" applyBorder="1" applyAlignment="1">
      <alignment horizontal="right" vertical="center"/>
    </xf>
    <xf numFmtId="176" fontId="42" fillId="0" borderId="37" xfId="10" applyNumberFormat="1" applyFont="1" applyFill="1" applyBorder="1" applyAlignment="1">
      <alignment horizontal="right" vertical="center"/>
    </xf>
    <xf numFmtId="176" fontId="42" fillId="0" borderId="0" xfId="10" applyNumberFormat="1" applyFont="1" applyFill="1" applyBorder="1" applyAlignment="1">
      <alignment horizontal="right" vertical="center"/>
    </xf>
    <xf numFmtId="176" fontId="42" fillId="0" borderId="5" xfId="10" applyNumberFormat="1" applyFont="1" applyFill="1" applyBorder="1" applyAlignment="1">
      <alignment horizontal="right" vertical="center"/>
    </xf>
    <xf numFmtId="176" fontId="42" fillId="0" borderId="37" xfId="11" applyNumberFormat="1" applyFont="1" applyFill="1" applyBorder="1" applyAlignment="1">
      <alignment horizontal="right" vertical="center"/>
    </xf>
    <xf numFmtId="176" fontId="54" fillId="0" borderId="8" xfId="7" applyNumberFormat="1" applyFont="1" applyFill="1" applyBorder="1" applyAlignment="1">
      <alignment horizontal="right" vertical="center"/>
    </xf>
    <xf numFmtId="176" fontId="54" fillId="0" borderId="37" xfId="7" applyNumberFormat="1" applyFont="1" applyFill="1" applyBorder="1" applyAlignment="1">
      <alignment horizontal="right" vertical="center"/>
    </xf>
    <xf numFmtId="176" fontId="42" fillId="0" borderId="37" xfId="7" applyNumberFormat="1" applyFont="1" applyFill="1" applyBorder="1" applyAlignment="1">
      <alignment horizontal="right" vertical="center" wrapText="1"/>
    </xf>
    <xf numFmtId="177" fontId="55" fillId="4" borderId="19" xfId="7" applyNumberFormat="1" applyFont="1" applyFill="1" applyBorder="1" applyAlignment="1">
      <alignment horizontal="right" vertical="center"/>
    </xf>
    <xf numFmtId="0" fontId="52" fillId="0" borderId="122" xfId="6" applyFont="1" applyFill="1" applyBorder="1" applyAlignment="1">
      <alignment horizontal="left" vertical="center" shrinkToFit="1"/>
    </xf>
    <xf numFmtId="176" fontId="42" fillId="0" borderId="152" xfId="5" applyNumberFormat="1" applyFont="1" applyFill="1" applyBorder="1" applyAlignment="1">
      <alignment horizontal="right" vertical="center"/>
    </xf>
    <xf numFmtId="176" fontId="42" fillId="0" borderId="151" xfId="5" applyNumberFormat="1" applyFont="1" applyFill="1" applyBorder="1" applyAlignment="1">
      <alignment horizontal="right" vertical="center"/>
    </xf>
    <xf numFmtId="176" fontId="42" fillId="0" borderId="153" xfId="5" applyNumberFormat="1" applyFont="1" applyFill="1" applyBorder="1" applyAlignment="1">
      <alignment horizontal="right" vertical="center"/>
    </xf>
    <xf numFmtId="176" fontId="42" fillId="0" borderId="148" xfId="5" applyNumberFormat="1" applyFont="1" applyFill="1" applyBorder="1" applyAlignment="1">
      <alignment horizontal="right" vertical="center"/>
    </xf>
    <xf numFmtId="176" fontId="42" fillId="0" borderId="147" xfId="5" applyNumberFormat="1" applyFont="1" applyFill="1" applyBorder="1" applyAlignment="1">
      <alignment horizontal="right" vertical="center"/>
    </xf>
    <xf numFmtId="176" fontId="42" fillId="0" borderId="122" xfId="5" applyNumberFormat="1" applyFont="1" applyFill="1" applyBorder="1" applyAlignment="1">
      <alignment horizontal="right" vertical="center"/>
    </xf>
    <xf numFmtId="176" fontId="52" fillId="0" borderId="36" xfId="0" applyNumberFormat="1" applyFont="1" applyBorder="1">
      <alignment vertical="center"/>
    </xf>
    <xf numFmtId="177" fontId="52" fillId="0" borderId="37" xfId="0" applyNumberFormat="1" applyFont="1" applyBorder="1">
      <alignment vertical="center"/>
    </xf>
    <xf numFmtId="176" fontId="52" fillId="0" borderId="30" xfId="0" applyNumberFormat="1" applyFont="1" applyBorder="1">
      <alignment vertical="center"/>
    </xf>
    <xf numFmtId="176" fontId="52" fillId="0" borderId="29" xfId="0" applyNumberFormat="1" applyFont="1" applyBorder="1">
      <alignment vertical="center"/>
    </xf>
    <xf numFmtId="176" fontId="52" fillId="0" borderId="119" xfId="0" applyNumberFormat="1" applyFont="1" applyBorder="1">
      <alignment vertical="center"/>
    </xf>
    <xf numFmtId="177" fontId="52" fillId="0" borderId="118" xfId="0" applyNumberFormat="1" applyFont="1" applyBorder="1">
      <alignment vertical="center"/>
    </xf>
    <xf numFmtId="177" fontId="52" fillId="0" borderId="16" xfId="0" applyNumberFormat="1" applyFont="1" applyBorder="1">
      <alignment vertical="center"/>
    </xf>
    <xf numFmtId="176" fontId="52" fillId="0" borderId="16" xfId="0" applyNumberFormat="1" applyFont="1" applyBorder="1">
      <alignment vertical="center"/>
    </xf>
    <xf numFmtId="177" fontId="52" fillId="0" borderId="5" xfId="0" applyNumberFormat="1" applyFont="1" applyBorder="1">
      <alignment vertical="center"/>
    </xf>
    <xf numFmtId="176" fontId="52" fillId="0" borderId="28" xfId="0" applyNumberFormat="1" applyFont="1" applyBorder="1">
      <alignment vertical="center"/>
    </xf>
    <xf numFmtId="177" fontId="52" fillId="0" borderId="23" xfId="0" applyNumberFormat="1" applyFont="1" applyBorder="1">
      <alignment vertical="center"/>
    </xf>
    <xf numFmtId="176" fontId="55" fillId="0" borderId="29" xfId="0" applyNumberFormat="1" applyFont="1" applyBorder="1">
      <alignment vertical="center"/>
    </xf>
    <xf numFmtId="177" fontId="55" fillId="0" borderId="5" xfId="0" applyNumberFormat="1" applyFont="1" applyBorder="1">
      <alignment vertical="center"/>
    </xf>
    <xf numFmtId="182" fontId="52" fillId="0" borderId="97" xfId="0" applyNumberFormat="1" applyFont="1" applyBorder="1">
      <alignment vertical="center"/>
    </xf>
    <xf numFmtId="182" fontId="52" fillId="0" borderId="39" xfId="0" applyNumberFormat="1" applyFont="1" applyBorder="1">
      <alignment vertical="center"/>
    </xf>
    <xf numFmtId="182" fontId="52" fillId="0" borderId="98" xfId="0" applyNumberFormat="1" applyFont="1" applyBorder="1">
      <alignment vertical="center"/>
    </xf>
    <xf numFmtId="182" fontId="52" fillId="0" borderId="150" xfId="0" applyNumberFormat="1" applyFont="1" applyBorder="1">
      <alignment vertical="center"/>
    </xf>
    <xf numFmtId="176" fontId="55" fillId="0" borderId="36" xfId="0" applyNumberFormat="1" applyFont="1" applyBorder="1">
      <alignment vertical="center"/>
    </xf>
    <xf numFmtId="177" fontId="55" fillId="0" borderId="37" xfId="0" applyNumberFormat="1" applyFont="1" applyBorder="1">
      <alignment vertical="center"/>
    </xf>
    <xf numFmtId="176" fontId="55" fillId="0" borderId="30" xfId="0" applyNumberFormat="1" applyFont="1" applyBorder="1">
      <alignment vertical="center"/>
    </xf>
    <xf numFmtId="0" fontId="42" fillId="0" borderId="0" xfId="7" applyNumberFormat="1" applyFont="1" applyFill="1" applyBorder="1" applyAlignment="1">
      <alignment horizontal="center" vertical="center"/>
    </xf>
    <xf numFmtId="180" fontId="42" fillId="0" borderId="0" xfId="10" applyNumberFormat="1" applyFont="1" applyFill="1" applyBorder="1" applyAlignment="1">
      <alignment horizontal="center" vertical="center"/>
    </xf>
    <xf numFmtId="0" fontId="49" fillId="0" borderId="0" xfId="7" applyNumberFormat="1" applyFont="1" applyFill="1" applyBorder="1" applyAlignment="1">
      <alignment vertical="center"/>
    </xf>
    <xf numFmtId="0" fontId="70" fillId="0" borderId="0" xfId="7" applyNumberFormat="1" applyFont="1" applyFill="1" applyBorder="1" applyAlignment="1">
      <alignment horizontal="center" vertical="center"/>
    </xf>
    <xf numFmtId="180" fontId="70" fillId="0" borderId="0" xfId="10" applyNumberFormat="1" applyFont="1" applyFill="1" applyBorder="1" applyAlignment="1">
      <alignment horizontal="center" vertical="center"/>
    </xf>
    <xf numFmtId="0" fontId="70" fillId="0" borderId="0" xfId="6" applyNumberFormat="1" applyFont="1" applyFill="1" applyBorder="1" applyAlignment="1">
      <alignment horizontal="center" vertical="center"/>
    </xf>
    <xf numFmtId="41" fontId="70" fillId="0" borderId="0" xfId="6" applyNumberFormat="1" applyFont="1" applyFill="1" applyBorder="1" applyAlignment="1">
      <alignment horizontal="right" vertical="center"/>
    </xf>
    <xf numFmtId="0" fontId="70" fillId="0" borderId="0" xfId="6" applyNumberFormat="1" applyFont="1" applyFill="1" applyBorder="1" applyAlignment="1">
      <alignment vertical="center"/>
    </xf>
    <xf numFmtId="0" fontId="70" fillId="0" borderId="0" xfId="6" applyNumberFormat="1" applyFont="1" applyBorder="1" applyAlignment="1">
      <alignment vertical="center"/>
    </xf>
    <xf numFmtId="41" fontId="38" fillId="11" borderId="84" xfId="10" applyFont="1" applyFill="1" applyBorder="1" applyAlignment="1">
      <alignment horizontal="center" vertical="center"/>
    </xf>
    <xf numFmtId="10" fontId="38" fillId="11" borderId="86" xfId="10" applyNumberFormat="1" applyFont="1" applyFill="1" applyBorder="1" applyAlignment="1">
      <alignment horizontal="center" vertical="center"/>
    </xf>
    <xf numFmtId="0" fontId="71" fillId="0" borderId="0" xfId="5" applyNumberFormat="1" applyFont="1" applyFill="1" applyBorder="1" applyAlignment="1">
      <alignment horizontal="center" vertical="center" wrapText="1"/>
    </xf>
    <xf numFmtId="10" fontId="71" fillId="0" borderId="0" xfId="5" applyNumberFormat="1" applyFont="1" applyFill="1" applyBorder="1" applyAlignment="1">
      <alignment horizontal="center" vertical="center" wrapText="1"/>
    </xf>
    <xf numFmtId="0" fontId="72" fillId="0" borderId="0" xfId="6" applyNumberFormat="1" applyFont="1" applyFill="1" applyBorder="1" applyAlignment="1">
      <alignment vertical="center"/>
    </xf>
    <xf numFmtId="0" fontId="58" fillId="0" borderId="0" xfId="6" applyNumberFormat="1" applyFont="1" applyBorder="1" applyAlignment="1">
      <alignment horizontal="center" vertical="center"/>
    </xf>
    <xf numFmtId="0" fontId="58" fillId="0" borderId="0" xfId="6" applyNumberFormat="1" applyFont="1" applyBorder="1" applyAlignment="1">
      <alignment vertical="center"/>
    </xf>
    <xf numFmtId="180" fontId="37" fillId="0" borderId="0" xfId="10" applyNumberFormat="1" applyFont="1" applyFill="1" applyBorder="1" applyAlignment="1">
      <alignment horizontal="center" vertical="center"/>
    </xf>
    <xf numFmtId="10" fontId="37" fillId="0" borderId="0" xfId="6" applyNumberFormat="1" applyFont="1" applyFill="1" applyBorder="1" applyAlignment="1">
      <alignment horizontal="center" vertical="center"/>
    </xf>
    <xf numFmtId="3" fontId="37" fillId="0" borderId="0" xfId="6" applyNumberFormat="1" applyFont="1" applyFill="1" applyBorder="1" applyAlignment="1">
      <alignment horizontal="center" vertical="center"/>
    </xf>
    <xf numFmtId="41" fontId="37" fillId="0" borderId="84" xfId="10" applyFont="1" applyBorder="1" applyAlignment="1">
      <alignment vertical="center"/>
    </xf>
    <xf numFmtId="41" fontId="37" fillId="0" borderId="70" xfId="10" applyFont="1" applyBorder="1" applyAlignment="1">
      <alignment vertical="center"/>
    </xf>
    <xf numFmtId="41" fontId="37" fillId="0" borderId="69" xfId="10" applyFont="1" applyBorder="1" applyAlignment="1">
      <alignment vertical="center"/>
    </xf>
    <xf numFmtId="41" fontId="58" fillId="0" borderId="0" xfId="10" applyFont="1" applyBorder="1" applyAlignment="1">
      <alignment vertical="center"/>
    </xf>
    <xf numFmtId="41" fontId="37" fillId="0" borderId="85" xfId="10" applyFont="1" applyBorder="1" applyAlignment="1">
      <alignment vertical="center"/>
    </xf>
    <xf numFmtId="41" fontId="37" fillId="0" borderId="35" xfId="10" applyFont="1" applyBorder="1" applyAlignment="1">
      <alignment vertical="center"/>
    </xf>
    <xf numFmtId="41" fontId="37" fillId="0" borderId="58" xfId="10" applyFont="1" applyBorder="1" applyAlignment="1">
      <alignment vertical="center"/>
    </xf>
    <xf numFmtId="9" fontId="37" fillId="0" borderId="35" xfId="10" applyNumberFormat="1" applyFont="1" applyBorder="1" applyAlignment="1">
      <alignment vertical="center"/>
    </xf>
    <xf numFmtId="183" fontId="37" fillId="0" borderId="35" xfId="10" applyNumberFormat="1" applyFont="1" applyBorder="1" applyAlignment="1">
      <alignment vertical="center"/>
    </xf>
    <xf numFmtId="41" fontId="37" fillId="0" borderId="85" xfId="10" applyFont="1" applyFill="1" applyBorder="1" applyAlignment="1">
      <alignment vertical="center"/>
    </xf>
    <xf numFmtId="41" fontId="37" fillId="0" borderId="35" xfId="10" applyFont="1" applyFill="1" applyBorder="1" applyAlignment="1">
      <alignment vertical="center"/>
    </xf>
    <xf numFmtId="41" fontId="37" fillId="0" borderId="58" xfId="10" applyFont="1" applyFill="1" applyBorder="1" applyAlignment="1">
      <alignment vertical="center"/>
    </xf>
    <xf numFmtId="41" fontId="58" fillId="0" borderId="0" xfId="10" applyFont="1" applyFill="1" applyAlignment="1">
      <alignment vertical="center"/>
    </xf>
    <xf numFmtId="0" fontId="58" fillId="0" borderId="0" xfId="4" applyNumberFormat="1" applyFont="1" applyFill="1" applyAlignment="1">
      <alignment vertical="center"/>
    </xf>
    <xf numFmtId="0" fontId="59" fillId="0" borderId="0" xfId="4" applyNumberFormat="1" applyFont="1" applyFill="1" applyAlignment="1">
      <alignment vertical="center"/>
    </xf>
    <xf numFmtId="180" fontId="70" fillId="0" borderId="63" xfId="10" applyNumberFormat="1" applyFont="1" applyFill="1" applyBorder="1" applyAlignment="1">
      <alignment horizontal="center" vertical="center"/>
    </xf>
    <xf numFmtId="9" fontId="70" fillId="0" borderId="63" xfId="6" applyNumberFormat="1" applyFont="1" applyFill="1" applyBorder="1" applyAlignment="1">
      <alignment horizontal="center" vertical="center"/>
    </xf>
    <xf numFmtId="0" fontId="70" fillId="0" borderId="63" xfId="6" applyNumberFormat="1" applyFont="1" applyFill="1" applyBorder="1" applyAlignment="1">
      <alignment horizontal="center" vertical="center"/>
    </xf>
    <xf numFmtId="0" fontId="70" fillId="0" borderId="64" xfId="6" applyNumberFormat="1" applyFont="1" applyFill="1" applyBorder="1" applyAlignment="1">
      <alignment horizontal="center" vertical="center"/>
    </xf>
    <xf numFmtId="176" fontId="70" fillId="0" borderId="0" xfId="6" applyNumberFormat="1" applyFont="1" applyFill="1" applyBorder="1" applyAlignment="1">
      <alignment horizontal="right" vertical="center"/>
    </xf>
    <xf numFmtId="180" fontId="70" fillId="0" borderId="35" xfId="10" applyNumberFormat="1" applyFont="1" applyFill="1" applyBorder="1" applyAlignment="1">
      <alignment horizontal="center" vertical="center"/>
    </xf>
    <xf numFmtId="0" fontId="70" fillId="0" borderId="35" xfId="6" applyNumberFormat="1" applyFont="1" applyFill="1" applyBorder="1" applyAlignment="1">
      <alignment horizontal="center" vertical="center"/>
    </xf>
    <xf numFmtId="0" fontId="70" fillId="0" borderId="40" xfId="6" applyNumberFormat="1" applyFont="1" applyFill="1" applyBorder="1" applyAlignment="1">
      <alignment horizontal="center" vertical="center"/>
    </xf>
    <xf numFmtId="41" fontId="70" fillId="0" borderId="40" xfId="6" applyNumberFormat="1" applyFont="1" applyFill="1" applyBorder="1" applyAlignment="1">
      <alignment horizontal="right" vertical="center"/>
    </xf>
    <xf numFmtId="176" fontId="70" fillId="0" borderId="66" xfId="10" applyNumberFormat="1" applyFont="1" applyFill="1" applyBorder="1" applyAlignment="1">
      <alignment horizontal="center" vertical="center"/>
    </xf>
    <xf numFmtId="176" fontId="70" fillId="0" borderId="66" xfId="6" applyNumberFormat="1" applyFont="1" applyFill="1" applyBorder="1" applyAlignment="1">
      <alignment horizontal="center" vertical="center"/>
    </xf>
    <xf numFmtId="176" fontId="70" fillId="0" borderId="67" xfId="6" applyNumberFormat="1" applyFont="1" applyFill="1" applyBorder="1" applyAlignment="1">
      <alignment horizontal="center" vertical="center"/>
    </xf>
    <xf numFmtId="176" fontId="70" fillId="0" borderId="67" xfId="6" applyNumberFormat="1" applyFont="1" applyFill="1" applyBorder="1" applyAlignment="1">
      <alignment horizontal="right" vertical="center"/>
    </xf>
    <xf numFmtId="41" fontId="38" fillId="0" borderId="85" xfId="10" applyFont="1" applyBorder="1" applyAlignment="1">
      <alignment vertical="center"/>
    </xf>
    <xf numFmtId="176" fontId="70" fillId="0" borderId="52" xfId="10" applyNumberFormat="1" applyFont="1" applyFill="1" applyBorder="1" applyAlignment="1">
      <alignment horizontal="center" vertical="center"/>
    </xf>
    <xf numFmtId="176" fontId="70" fillId="0" borderId="52" xfId="6" applyNumberFormat="1" applyFont="1" applyFill="1" applyBorder="1" applyAlignment="1">
      <alignment horizontal="center" vertical="center"/>
    </xf>
    <xf numFmtId="176" fontId="70" fillId="0" borderId="43" xfId="6" applyNumberFormat="1" applyFont="1" applyFill="1" applyBorder="1" applyAlignment="1">
      <alignment horizontal="center" vertical="center"/>
    </xf>
    <xf numFmtId="41" fontId="38" fillId="0" borderId="58" xfId="10" applyFont="1" applyBorder="1" applyAlignment="1">
      <alignment vertical="center"/>
    </xf>
    <xf numFmtId="41" fontId="37" fillId="0" borderId="40" xfId="10" applyFont="1" applyBorder="1" applyAlignment="1">
      <alignment vertical="center"/>
    </xf>
    <xf numFmtId="41" fontId="67" fillId="0" borderId="0" xfId="10" applyFont="1" applyBorder="1" applyAlignment="1">
      <alignment vertical="center"/>
    </xf>
    <xf numFmtId="0" fontId="67" fillId="0" borderId="0" xfId="6" applyNumberFormat="1" applyFont="1" applyBorder="1" applyAlignment="1">
      <alignment vertical="center"/>
    </xf>
    <xf numFmtId="0" fontId="70" fillId="0" borderId="0" xfId="6" applyFont="1" applyBorder="1" applyAlignment="1">
      <alignment vertical="center"/>
    </xf>
    <xf numFmtId="41" fontId="37" fillId="0" borderId="0" xfId="10" applyFont="1" applyBorder="1" applyAlignment="1">
      <alignment vertical="center"/>
    </xf>
    <xf numFmtId="41" fontId="52" fillId="0" borderId="39" xfId="0" applyNumberFormat="1" applyFont="1" applyBorder="1">
      <alignment vertical="center"/>
    </xf>
    <xf numFmtId="177" fontId="55" fillId="0" borderId="16" xfId="0" applyNumberFormat="1" applyFont="1" applyBorder="1">
      <alignment vertical="center"/>
    </xf>
    <xf numFmtId="41" fontId="52" fillId="0" borderId="98" xfId="0" applyNumberFormat="1" applyFont="1" applyBorder="1">
      <alignment vertical="center"/>
    </xf>
    <xf numFmtId="10" fontId="37" fillId="0" borderId="70" xfId="10" applyNumberFormat="1" applyFont="1" applyBorder="1" applyAlignment="1">
      <alignment vertical="center"/>
    </xf>
    <xf numFmtId="183" fontId="37" fillId="0" borderId="70" xfId="10" applyNumberFormat="1" applyFont="1" applyBorder="1" applyAlignment="1">
      <alignment vertical="center"/>
    </xf>
    <xf numFmtId="10" fontId="37" fillId="0" borderId="35" xfId="10" applyNumberFormat="1" applyFont="1" applyBorder="1" applyAlignment="1">
      <alignment vertical="center"/>
    </xf>
    <xf numFmtId="184" fontId="37" fillId="0" borderId="35" xfId="10" applyNumberFormat="1" applyFont="1" applyBorder="1" applyAlignment="1">
      <alignment vertical="center"/>
    </xf>
    <xf numFmtId="41" fontId="37" fillId="0" borderId="35" xfId="10" applyNumberFormat="1" applyFont="1" applyBorder="1" applyAlignment="1">
      <alignment vertical="center"/>
    </xf>
    <xf numFmtId="41" fontId="37" fillId="0" borderId="86" xfId="10" applyFont="1" applyBorder="1" applyAlignment="1">
      <alignment vertical="center"/>
    </xf>
    <xf numFmtId="41" fontId="37" fillId="0" borderId="75" xfId="10" applyFont="1" applyBorder="1" applyAlignment="1">
      <alignment vertical="center"/>
    </xf>
    <xf numFmtId="41" fontId="37" fillId="0" borderId="78" xfId="10" applyFont="1" applyBorder="1" applyAlignment="1">
      <alignment vertical="center"/>
    </xf>
    <xf numFmtId="41" fontId="58" fillId="0" borderId="0" xfId="10" applyFont="1" applyAlignment="1">
      <alignment vertical="center"/>
    </xf>
    <xf numFmtId="0" fontId="73" fillId="0" borderId="0" xfId="5" applyFont="1" applyAlignment="1">
      <alignment vertical="center"/>
    </xf>
    <xf numFmtId="41" fontId="58" fillId="0" borderId="0" xfId="10" applyFont="1" applyAlignment="1">
      <alignment horizontal="center" vertical="center"/>
    </xf>
    <xf numFmtId="0" fontId="52" fillId="0" borderId="122" xfId="6" applyNumberFormat="1" applyFont="1" applyFill="1" applyBorder="1" applyAlignment="1">
      <alignment horizontal="left" vertical="center" shrinkToFit="1"/>
    </xf>
    <xf numFmtId="176" fontId="55" fillId="0" borderId="101" xfId="0" applyNumberFormat="1" applyFont="1" applyBorder="1">
      <alignment vertical="center"/>
    </xf>
    <xf numFmtId="177" fontId="55" fillId="0" borderId="8" xfId="0" applyNumberFormat="1" applyFont="1" applyBorder="1">
      <alignment vertical="center"/>
    </xf>
    <xf numFmtId="182" fontId="52" fillId="0" borderId="0" xfId="0" applyNumberFormat="1" applyFont="1" applyBorder="1">
      <alignment vertical="center"/>
    </xf>
    <xf numFmtId="182" fontId="55" fillId="0" borderId="0" xfId="0" applyNumberFormat="1" applyFont="1" applyBorder="1">
      <alignment vertical="center"/>
    </xf>
    <xf numFmtId="41" fontId="52" fillId="0" borderId="39" xfId="7" applyNumberFormat="1" applyFont="1" applyFill="1" applyBorder="1" applyAlignment="1">
      <alignment horizontal="right" vertical="center"/>
    </xf>
    <xf numFmtId="41" fontId="55" fillId="0" borderId="39" xfId="7" applyNumberFormat="1" applyFont="1" applyFill="1" applyBorder="1" applyAlignment="1">
      <alignment horizontal="right" vertical="center"/>
    </xf>
    <xf numFmtId="176" fontId="51" fillId="0" borderId="113" xfId="7" applyNumberFormat="1" applyFont="1" applyFill="1" applyBorder="1" applyAlignment="1">
      <alignment vertical="center"/>
    </xf>
    <xf numFmtId="176" fontId="0" fillId="0" borderId="0" xfId="0" applyNumberFormat="1">
      <alignment vertical="center"/>
    </xf>
    <xf numFmtId="0" fontId="74" fillId="0" borderId="0" xfId="4" applyNumberFormat="1" applyFont="1" applyFill="1" applyBorder="1" applyAlignment="1">
      <alignment vertical="center"/>
    </xf>
    <xf numFmtId="0" fontId="23" fillId="0" borderId="0" xfId="4" applyFont="1" applyAlignment="1">
      <alignment vertical="center"/>
    </xf>
    <xf numFmtId="0" fontId="36" fillId="0" borderId="0" xfId="4" applyFont="1" applyAlignment="1">
      <alignment vertical="center"/>
    </xf>
    <xf numFmtId="41" fontId="51" fillId="0" borderId="0" xfId="3" applyFont="1" applyAlignment="1">
      <alignment vertical="center"/>
    </xf>
    <xf numFmtId="177" fontId="37" fillId="0" borderId="0" xfId="3" applyNumberFormat="1" applyFont="1" applyAlignment="1">
      <alignment vertical="center"/>
    </xf>
    <xf numFmtId="41" fontId="25" fillId="0" borderId="0" xfId="3" applyNumberFormat="1" applyFont="1" applyAlignment="1">
      <alignment vertical="center"/>
    </xf>
    <xf numFmtId="41" fontId="25" fillId="0" borderId="0" xfId="3" applyNumberFormat="1" applyFont="1" applyAlignment="1">
      <alignment horizontal="center" vertical="center"/>
    </xf>
    <xf numFmtId="177" fontId="75" fillId="4" borderId="19" xfId="3" applyNumberFormat="1" applyFont="1" applyFill="1" applyBorder="1" applyAlignment="1">
      <alignment horizontal="right" vertical="center"/>
    </xf>
    <xf numFmtId="0" fontId="59" fillId="4" borderId="46" xfId="4" applyNumberFormat="1" applyFont="1" applyFill="1" applyBorder="1" applyAlignment="1">
      <alignment horizontal="center" vertical="center"/>
    </xf>
    <xf numFmtId="0" fontId="59" fillId="4" borderId="15" xfId="4" applyNumberFormat="1" applyFont="1" applyFill="1" applyBorder="1" applyAlignment="1">
      <alignment horizontal="center" vertical="center"/>
    </xf>
    <xf numFmtId="41" fontId="59" fillId="4" borderId="49" xfId="4" applyNumberFormat="1" applyFont="1" applyFill="1" applyBorder="1" applyAlignment="1">
      <alignment horizontal="center" vertical="center"/>
    </xf>
    <xf numFmtId="0" fontId="54" fillId="0" borderId="7" xfId="6" applyNumberFormat="1" applyFont="1" applyFill="1" applyBorder="1" applyAlignment="1">
      <alignment vertical="center"/>
    </xf>
    <xf numFmtId="0" fontId="54" fillId="0" borderId="125" xfId="6" applyNumberFormat="1" applyFont="1" applyFill="1" applyBorder="1" applyAlignment="1">
      <alignment vertical="center"/>
    </xf>
    <xf numFmtId="0" fontId="54" fillId="0" borderId="154" xfId="6" applyNumberFormat="1" applyFont="1" applyFill="1" applyBorder="1" applyAlignment="1">
      <alignment vertical="center"/>
    </xf>
    <xf numFmtId="0" fontId="36" fillId="0" borderId="124" xfId="4" applyFont="1" applyBorder="1" applyAlignment="1">
      <alignment vertical="center"/>
    </xf>
    <xf numFmtId="0" fontId="37" fillId="0" borderId="37" xfId="4" applyFont="1" applyBorder="1" applyAlignment="1">
      <alignment vertical="center" wrapText="1"/>
    </xf>
    <xf numFmtId="0" fontId="37" fillId="0" borderId="147" xfId="4" applyFont="1" applyFill="1" applyBorder="1" applyAlignment="1">
      <alignment vertical="center" wrapText="1"/>
    </xf>
    <xf numFmtId="0" fontId="37" fillId="0" borderId="124" xfId="4" applyFont="1" applyBorder="1" applyAlignment="1">
      <alignment vertical="center"/>
    </xf>
    <xf numFmtId="0" fontId="37" fillId="0" borderId="37" xfId="4" applyFont="1" applyBorder="1" applyAlignment="1">
      <alignment vertical="center"/>
    </xf>
    <xf numFmtId="0" fontId="37" fillId="0" borderId="147" xfId="4" applyFont="1" applyFill="1" applyBorder="1" applyAlignment="1">
      <alignment vertical="center"/>
    </xf>
    <xf numFmtId="0" fontId="37" fillId="5" borderId="118" xfId="4" applyFont="1" applyFill="1" applyBorder="1" applyAlignment="1">
      <alignment vertical="center" wrapText="1"/>
    </xf>
    <xf numFmtId="0" fontId="37" fillId="0" borderId="37" xfId="4" applyFont="1" applyFill="1" applyBorder="1" applyAlignment="1">
      <alignment vertical="center" wrapText="1"/>
    </xf>
    <xf numFmtId="0" fontId="37" fillId="0" borderId="26" xfId="4" applyFont="1" applyBorder="1" applyAlignment="1">
      <alignment vertical="center"/>
    </xf>
    <xf numFmtId="0" fontId="37" fillId="0" borderId="37" xfId="4" applyFont="1" applyFill="1" applyBorder="1" applyAlignment="1">
      <alignment vertical="center"/>
    </xf>
    <xf numFmtId="0" fontId="37" fillId="0" borderId="0" xfId="4" applyFont="1" applyFill="1" applyBorder="1" applyAlignment="1">
      <alignment vertical="center"/>
    </xf>
    <xf numFmtId="0" fontId="37" fillId="0" borderId="119" xfId="4" applyFont="1" applyFill="1" applyBorder="1" applyAlignment="1">
      <alignment vertical="top" wrapText="1"/>
    </xf>
    <xf numFmtId="0" fontId="37" fillId="0" borderId="36" xfId="4" applyFont="1" applyFill="1" applyBorder="1" applyAlignment="1">
      <alignment vertical="top" wrapText="1"/>
    </xf>
    <xf numFmtId="0" fontId="37" fillId="0" borderId="37" xfId="4" applyFont="1" applyFill="1" applyBorder="1" applyAlignment="1">
      <alignment vertical="top" wrapText="1"/>
    </xf>
    <xf numFmtId="0" fontId="37" fillId="5" borderId="26" xfId="4" applyFont="1" applyFill="1" applyBorder="1" applyAlignment="1">
      <alignment vertical="center"/>
    </xf>
    <xf numFmtId="0" fontId="37" fillId="5" borderId="37" xfId="4" applyFont="1" applyFill="1" applyBorder="1" applyAlignment="1">
      <alignment vertical="top" wrapText="1"/>
    </xf>
    <xf numFmtId="0" fontId="37" fillId="5" borderId="118" xfId="4" applyFont="1" applyFill="1" applyBorder="1" applyAlignment="1">
      <alignment horizontal="left" vertical="center" wrapText="1"/>
    </xf>
    <xf numFmtId="0" fontId="37" fillId="0" borderId="29" xfId="4" applyFont="1" applyFill="1" applyBorder="1" applyAlignment="1">
      <alignment vertical="top" wrapText="1"/>
    </xf>
    <xf numFmtId="0" fontId="37" fillId="0" borderId="16" xfId="4" applyFont="1" applyFill="1" applyBorder="1" applyAlignment="1">
      <alignment vertical="top" wrapText="1"/>
    </xf>
    <xf numFmtId="0" fontId="37" fillId="0" borderId="119" xfId="4" applyFont="1" applyFill="1" applyBorder="1" applyAlignment="1">
      <alignment vertical="center"/>
    </xf>
    <xf numFmtId="0" fontId="37" fillId="0" borderId="36" xfId="4" applyFont="1" applyFill="1" applyBorder="1" applyAlignment="1">
      <alignment vertical="center"/>
    </xf>
    <xf numFmtId="0" fontId="37" fillId="0" borderId="16" xfId="4" applyFont="1" applyFill="1" applyBorder="1" applyAlignment="1">
      <alignment vertical="center"/>
    </xf>
    <xf numFmtId="0" fontId="37" fillId="0" borderId="16" xfId="4" applyFont="1" applyFill="1" applyBorder="1" applyAlignment="1">
      <alignment vertical="center" wrapText="1"/>
    </xf>
    <xf numFmtId="0" fontId="54" fillId="0" borderId="148" xfId="6" applyNumberFormat="1" applyFont="1" applyFill="1" applyBorder="1" applyAlignment="1">
      <alignment vertical="center"/>
    </xf>
    <xf numFmtId="0" fontId="37" fillId="0" borderId="118" xfId="4" applyFont="1" applyFill="1" applyBorder="1" applyAlignment="1">
      <alignment vertical="center"/>
    </xf>
    <xf numFmtId="0" fontId="37" fillId="0" borderId="148" xfId="4" applyFont="1" applyFill="1" applyBorder="1" applyAlignment="1">
      <alignment vertical="center" wrapText="1"/>
    </xf>
    <xf numFmtId="0" fontId="37" fillId="0" borderId="171" xfId="4" applyFont="1" applyFill="1" applyBorder="1" applyAlignment="1">
      <alignment vertical="center"/>
    </xf>
    <xf numFmtId="0" fontId="37" fillId="0" borderId="118" xfId="4" applyFont="1" applyFill="1" applyBorder="1" applyAlignment="1">
      <alignment vertical="center" wrapText="1"/>
    </xf>
    <xf numFmtId="0" fontId="37" fillId="0" borderId="172" xfId="4" applyFont="1" applyFill="1" applyBorder="1" applyAlignment="1">
      <alignment vertical="center" wrapText="1"/>
    </xf>
    <xf numFmtId="0" fontId="37" fillId="0" borderId="171" xfId="4" applyFont="1" applyFill="1" applyBorder="1" applyAlignment="1">
      <alignment vertical="center" wrapText="1"/>
    </xf>
    <xf numFmtId="0" fontId="37" fillId="0" borderId="173" xfId="4" applyFont="1" applyFill="1" applyBorder="1" applyAlignment="1">
      <alignment vertical="center" wrapText="1"/>
    </xf>
    <xf numFmtId="0" fontId="37" fillId="0" borderId="174" xfId="4" applyFont="1" applyFill="1" applyBorder="1" applyAlignment="1">
      <alignment vertical="center" wrapText="1"/>
    </xf>
    <xf numFmtId="0" fontId="37" fillId="0" borderId="172" xfId="4" applyFont="1" applyFill="1" applyBorder="1" applyAlignment="1">
      <alignment vertical="center"/>
    </xf>
    <xf numFmtId="0" fontId="37" fillId="0" borderId="172" xfId="4" applyFont="1" applyFill="1" applyBorder="1" applyAlignment="1">
      <alignment vertical="top" wrapText="1"/>
    </xf>
    <xf numFmtId="0" fontId="37" fillId="0" borderId="177" xfId="4" applyFont="1" applyFill="1" applyBorder="1" applyAlignment="1">
      <alignment vertical="top" wrapText="1"/>
    </xf>
    <xf numFmtId="0" fontId="37" fillId="0" borderId="171" xfId="4" applyFont="1" applyFill="1" applyBorder="1" applyAlignment="1">
      <alignment vertical="top" wrapText="1"/>
    </xf>
    <xf numFmtId="0" fontId="37" fillId="0" borderId="177" xfId="4" applyFont="1" applyFill="1" applyBorder="1" applyAlignment="1">
      <alignment vertical="center"/>
    </xf>
    <xf numFmtId="0" fontId="37" fillId="0" borderId="0" xfId="4" applyFont="1" applyBorder="1" applyAlignment="1">
      <alignment vertical="center"/>
    </xf>
    <xf numFmtId="0" fontId="37" fillId="0" borderId="30" xfId="4" applyFont="1" applyBorder="1" applyAlignment="1">
      <alignment vertical="top"/>
    </xf>
    <xf numFmtId="0" fontId="37" fillId="0" borderId="36" xfId="4" applyFont="1" applyBorder="1" applyAlignment="1">
      <alignment vertical="center"/>
    </xf>
    <xf numFmtId="0" fontId="37" fillId="0" borderId="118" xfId="4" applyFont="1" applyBorder="1" applyAlignment="1">
      <alignment vertical="center"/>
    </xf>
    <xf numFmtId="0" fontId="37" fillId="0" borderId="37" xfId="4" applyFont="1" applyBorder="1" applyAlignment="1">
      <alignment vertical="top"/>
    </xf>
    <xf numFmtId="0" fontId="37" fillId="0" borderId="36" xfId="4" applyFont="1" applyBorder="1" applyAlignment="1">
      <alignment vertical="top"/>
    </xf>
    <xf numFmtId="0" fontId="37" fillId="0" borderId="147" xfId="4" applyFont="1" applyBorder="1" applyAlignment="1">
      <alignment vertical="center"/>
    </xf>
    <xf numFmtId="0" fontId="37" fillId="0" borderId="120" xfId="4" applyFont="1" applyBorder="1" applyAlignment="1">
      <alignment vertical="center"/>
    </xf>
    <xf numFmtId="0" fontId="37" fillId="0" borderId="30" xfId="4" applyFont="1" applyBorder="1" applyAlignment="1">
      <alignment vertical="center"/>
    </xf>
    <xf numFmtId="0" fontId="52" fillId="0" borderId="118" xfId="4" applyFont="1" applyFill="1" applyBorder="1" applyAlignment="1">
      <alignment vertical="center"/>
    </xf>
    <xf numFmtId="0" fontId="52" fillId="0" borderId="37" xfId="4" applyFont="1" applyFill="1" applyBorder="1" applyAlignment="1">
      <alignment vertical="center"/>
    </xf>
    <xf numFmtId="0" fontId="37" fillId="0" borderId="118" xfId="4" applyFont="1" applyBorder="1" applyAlignment="1">
      <alignment vertical="top"/>
    </xf>
    <xf numFmtId="0" fontId="37" fillId="0" borderId="16" xfId="4" applyFont="1" applyBorder="1" applyAlignment="1">
      <alignment vertical="center"/>
    </xf>
    <xf numFmtId="0" fontId="37" fillId="0" borderId="122" xfId="4" applyFont="1" applyBorder="1" applyAlignment="1">
      <alignment vertical="center"/>
    </xf>
    <xf numFmtId="0" fontId="52" fillId="0" borderId="122" xfId="4" applyFont="1" applyFill="1" applyBorder="1" applyAlignment="1">
      <alignment vertical="center"/>
    </xf>
    <xf numFmtId="0" fontId="52" fillId="0" borderId="36" xfId="4" applyFont="1" applyFill="1" applyBorder="1" applyAlignment="1">
      <alignment vertical="center"/>
    </xf>
    <xf numFmtId="0" fontId="52" fillId="0" borderId="147" xfId="4" applyFont="1" applyFill="1" applyBorder="1" applyAlignment="1">
      <alignment vertical="center"/>
    </xf>
    <xf numFmtId="0" fontId="52" fillId="0" borderId="120" xfId="4" applyFont="1" applyFill="1" applyBorder="1" applyAlignment="1">
      <alignment vertical="center"/>
    </xf>
    <xf numFmtId="0" fontId="52" fillId="0" borderId="30" xfId="4" applyFont="1" applyFill="1" applyBorder="1" applyAlignment="1">
      <alignment vertical="center"/>
    </xf>
    <xf numFmtId="0" fontId="52" fillId="0" borderId="16" xfId="4" applyFont="1" applyFill="1" applyBorder="1" applyAlignment="1">
      <alignment vertical="center"/>
    </xf>
    <xf numFmtId="0" fontId="38" fillId="0" borderId="120" xfId="4" applyFont="1" applyBorder="1" applyAlignment="1">
      <alignment vertical="center"/>
    </xf>
    <xf numFmtId="0" fontId="52" fillId="0" borderId="121" xfId="4" applyFont="1" applyFill="1" applyBorder="1" applyAlignment="1">
      <alignment vertical="center"/>
    </xf>
    <xf numFmtId="0" fontId="37" fillId="0" borderId="23" xfId="4" applyFont="1" applyBorder="1" applyAlignment="1">
      <alignment vertical="center"/>
    </xf>
    <xf numFmtId="0" fontId="37" fillId="0" borderId="28" xfId="4" applyFont="1" applyBorder="1" applyAlignment="1">
      <alignment vertical="center"/>
    </xf>
    <xf numFmtId="0" fontId="52" fillId="0" borderId="28" xfId="4" applyFont="1" applyFill="1" applyBorder="1" applyAlignment="1">
      <alignment vertical="center"/>
    </xf>
    <xf numFmtId="0" fontId="42" fillId="0" borderId="117" xfId="6" applyNumberFormat="1" applyFont="1" applyFill="1" applyBorder="1" applyAlignment="1">
      <alignment vertical="center"/>
    </xf>
    <xf numFmtId="180" fontId="37" fillId="0" borderId="36" xfId="5" applyNumberFormat="1" applyFont="1" applyBorder="1" applyAlignment="1">
      <alignment vertical="center"/>
    </xf>
    <xf numFmtId="180" fontId="37" fillId="0" borderId="37" xfId="5" applyNumberFormat="1" applyFont="1" applyBorder="1" applyAlignment="1">
      <alignment horizontal="left" vertical="center"/>
    </xf>
    <xf numFmtId="180" fontId="37" fillId="0" borderId="118" xfId="5" applyNumberFormat="1" applyFont="1" applyBorder="1" applyAlignment="1">
      <alignment horizontal="left" vertical="center"/>
    </xf>
    <xf numFmtId="180" fontId="37" fillId="0" borderId="120" xfId="5" applyNumberFormat="1" applyFont="1" applyBorder="1" applyAlignment="1">
      <alignment vertical="center"/>
    </xf>
    <xf numFmtId="180" fontId="37" fillId="0" borderId="30" xfId="5" applyNumberFormat="1" applyFont="1" applyBorder="1" applyAlignment="1">
      <alignment vertical="center"/>
    </xf>
    <xf numFmtId="180" fontId="37" fillId="0" borderId="37" xfId="5" applyNumberFormat="1" applyFont="1" applyBorder="1" applyAlignment="1">
      <alignment vertical="center"/>
    </xf>
    <xf numFmtId="180" fontId="37" fillId="0" borderId="118" xfId="5" applyNumberFormat="1" applyFont="1" applyBorder="1" applyAlignment="1">
      <alignment vertical="center"/>
    </xf>
    <xf numFmtId="180" fontId="37" fillId="0" borderId="179" xfId="5" applyNumberFormat="1" applyFont="1" applyBorder="1" applyAlignment="1">
      <alignment vertical="center"/>
    </xf>
    <xf numFmtId="180" fontId="37" fillId="0" borderId="28" xfId="5" applyNumberFormat="1" applyFont="1" applyBorder="1" applyAlignment="1">
      <alignment vertical="center"/>
    </xf>
    <xf numFmtId="180" fontId="37" fillId="0" borderId="23" xfId="5" applyNumberFormat="1" applyFont="1" applyBorder="1" applyAlignment="1">
      <alignment vertical="center"/>
    </xf>
    <xf numFmtId="180" fontId="37" fillId="0" borderId="126" xfId="5" applyNumberFormat="1" applyFont="1" applyBorder="1" applyAlignment="1">
      <alignment vertical="center"/>
    </xf>
    <xf numFmtId="41" fontId="52" fillId="0" borderId="0" xfId="7" applyNumberFormat="1" applyFont="1" applyFill="1" applyBorder="1" applyAlignment="1">
      <alignment horizontal="center" vertical="center"/>
    </xf>
    <xf numFmtId="0" fontId="37" fillId="0" borderId="0" xfId="3" applyNumberFormat="1" applyFont="1" applyFill="1" applyBorder="1" applyAlignment="1">
      <alignment horizontal="left" vertical="center"/>
    </xf>
    <xf numFmtId="0" fontId="37" fillId="0" borderId="0" xfId="3" applyNumberFormat="1" applyFont="1" applyFill="1" applyBorder="1" applyAlignment="1">
      <alignment horizontal="center" vertical="center"/>
    </xf>
    <xf numFmtId="0" fontId="37" fillId="0" borderId="0" xfId="4" applyFont="1" applyFill="1" applyBorder="1" applyAlignment="1">
      <alignment horizontal="center" vertical="center"/>
    </xf>
    <xf numFmtId="41" fontId="37" fillId="0" borderId="123" xfId="3" applyNumberFormat="1" applyFont="1" applyFill="1" applyBorder="1" applyAlignment="1">
      <alignment horizontal="center" vertical="center" shrinkToFit="1"/>
    </xf>
    <xf numFmtId="41" fontId="37" fillId="0" borderId="0" xfId="3" applyFont="1" applyFill="1" applyBorder="1" applyAlignment="1">
      <alignment vertical="center"/>
    </xf>
    <xf numFmtId="0" fontId="37" fillId="0" borderId="0" xfId="4" applyFont="1" applyFill="1" applyBorder="1" applyAlignment="1">
      <alignment horizontal="center" vertical="center" shrinkToFit="1"/>
    </xf>
    <xf numFmtId="41" fontId="37" fillId="0" borderId="0" xfId="3" applyNumberFormat="1" applyFont="1" applyFill="1" applyBorder="1" applyAlignment="1">
      <alignment horizontal="left" vertical="center" shrinkToFit="1"/>
    </xf>
    <xf numFmtId="0" fontId="38" fillId="0" borderId="0" xfId="4" applyFont="1" applyFill="1" applyBorder="1" applyAlignment="1">
      <alignment horizontal="center" vertical="center" shrinkToFit="1"/>
    </xf>
    <xf numFmtId="41" fontId="52" fillId="0" borderId="0" xfId="3" applyNumberFormat="1" applyFont="1" applyFill="1" applyBorder="1" applyAlignment="1">
      <alignment horizontal="left" vertical="center" shrinkToFit="1"/>
    </xf>
    <xf numFmtId="0" fontId="55" fillId="0" borderId="0" xfId="4" applyFont="1" applyFill="1" applyBorder="1" applyAlignment="1">
      <alignment horizontal="center" vertical="center" shrinkToFit="1"/>
    </xf>
    <xf numFmtId="0" fontId="52" fillId="0" borderId="0" xfId="4" applyFont="1" applyFill="1" applyBorder="1" applyAlignment="1">
      <alignment horizontal="center" vertical="center" shrinkToFit="1"/>
    </xf>
    <xf numFmtId="0" fontId="55" fillId="0" borderId="123" xfId="4" applyFont="1" applyFill="1" applyBorder="1" applyAlignment="1">
      <alignment horizontal="center" vertical="center" shrinkToFit="1"/>
    </xf>
    <xf numFmtId="0" fontId="38" fillId="0" borderId="0" xfId="3" applyNumberFormat="1" applyFont="1" applyFill="1" applyBorder="1" applyAlignment="1">
      <alignment horizontal="center" vertical="center" shrinkToFit="1"/>
    </xf>
    <xf numFmtId="0" fontId="38" fillId="0" borderId="123" xfId="3" applyNumberFormat="1" applyFont="1" applyFill="1" applyBorder="1" applyAlignment="1">
      <alignment horizontal="center" vertical="center" shrinkToFit="1"/>
    </xf>
    <xf numFmtId="176" fontId="37" fillId="0" borderId="121" xfId="4" applyNumberFormat="1" applyFont="1" applyFill="1" applyBorder="1" applyAlignment="1">
      <alignment horizontal="center" vertical="center"/>
    </xf>
    <xf numFmtId="176" fontId="38" fillId="0" borderId="149" xfId="4" applyNumberFormat="1" applyFont="1" applyFill="1" applyBorder="1" applyAlignment="1">
      <alignment horizontal="center" vertical="center"/>
    </xf>
    <xf numFmtId="176" fontId="38" fillId="0" borderId="0" xfId="4" applyNumberFormat="1" applyFont="1" applyFill="1" applyBorder="1" applyAlignment="1">
      <alignment horizontal="center" vertical="center"/>
    </xf>
    <xf numFmtId="176" fontId="38" fillId="0" borderId="123" xfId="4" applyNumberFormat="1" applyFont="1" applyFill="1" applyBorder="1" applyAlignment="1">
      <alignment horizontal="center" vertical="center"/>
    </xf>
    <xf numFmtId="176" fontId="38" fillId="0" borderId="121" xfId="4" applyNumberFormat="1" applyFont="1" applyFill="1" applyBorder="1" applyAlignment="1">
      <alignment horizontal="center" vertical="center"/>
    </xf>
    <xf numFmtId="0" fontId="52" fillId="0" borderId="120" xfId="7" applyNumberFormat="1" applyFont="1" applyFill="1" applyBorder="1" applyAlignment="1">
      <alignment horizontal="left" vertical="center"/>
    </xf>
    <xf numFmtId="176" fontId="37" fillId="0" borderId="149" xfId="4" applyNumberFormat="1" applyFont="1" applyFill="1" applyBorder="1" applyAlignment="1">
      <alignment horizontal="center" vertical="center"/>
    </xf>
    <xf numFmtId="41" fontId="37" fillId="0" borderId="121" xfId="3" applyNumberFormat="1" applyFont="1" applyFill="1" applyBorder="1" applyAlignment="1">
      <alignment horizontal="center" vertical="center" shrinkToFit="1"/>
    </xf>
    <xf numFmtId="0" fontId="37" fillId="0" borderId="180" xfId="4" applyFont="1" applyFill="1" applyBorder="1" applyAlignment="1">
      <alignment horizontal="center" vertical="center" shrinkToFit="1"/>
    </xf>
    <xf numFmtId="176" fontId="37" fillId="0" borderId="0" xfId="4" applyNumberFormat="1" applyFont="1" applyFill="1" applyBorder="1" applyAlignment="1">
      <alignment horizontal="center" vertical="center"/>
    </xf>
    <xf numFmtId="176" fontId="37" fillId="0" borderId="123" xfId="4" applyNumberFormat="1" applyFont="1" applyFill="1" applyBorder="1" applyAlignment="1">
      <alignment horizontal="center" vertical="center"/>
    </xf>
    <xf numFmtId="0" fontId="55" fillId="0" borderId="0" xfId="3" applyNumberFormat="1" applyFont="1" applyBorder="1" applyAlignment="1">
      <alignment horizontal="center" vertical="center"/>
    </xf>
    <xf numFmtId="0" fontId="52" fillId="0" borderId="0" xfId="3" applyNumberFormat="1" applyFont="1" applyBorder="1" applyAlignment="1">
      <alignment horizontal="center" vertical="center"/>
    </xf>
    <xf numFmtId="0" fontId="52" fillId="0" borderId="0" xfId="4" applyFont="1" applyBorder="1" applyAlignment="1">
      <alignment horizontal="center" vertical="center"/>
    </xf>
    <xf numFmtId="41" fontId="52" fillId="0" borderId="0" xfId="3" applyNumberFormat="1" applyFont="1" applyBorder="1" applyAlignment="1">
      <alignment horizontal="left" vertical="center" shrinkToFit="1"/>
    </xf>
    <xf numFmtId="0" fontId="52" fillId="0" borderId="0" xfId="4" applyFont="1" applyBorder="1" applyAlignment="1">
      <alignment vertical="center" shrinkToFit="1"/>
    </xf>
    <xf numFmtId="0" fontId="52" fillId="0" borderId="0" xfId="4" applyFont="1" applyBorder="1" applyAlignment="1">
      <alignment horizontal="center" vertical="center" shrinkToFit="1"/>
    </xf>
    <xf numFmtId="0" fontId="52" fillId="0" borderId="0" xfId="4" applyFont="1" applyBorder="1" applyAlignment="1">
      <alignment horizontal="justify" vertical="center" wrapText="1"/>
    </xf>
    <xf numFmtId="0" fontId="37" fillId="0" borderId="0" xfId="4" applyFont="1" applyBorder="1" applyAlignment="1">
      <alignment horizontal="center" vertical="center"/>
    </xf>
    <xf numFmtId="41" fontId="37" fillId="0" borderId="0" xfId="3" applyNumberFormat="1" applyFont="1" applyBorder="1" applyAlignment="1">
      <alignment horizontal="left" vertical="center" shrinkToFit="1"/>
    </xf>
    <xf numFmtId="0" fontId="52" fillId="0" borderId="121" xfId="4" applyFont="1" applyBorder="1" applyAlignment="1">
      <alignment vertical="center" shrinkToFit="1"/>
    </xf>
    <xf numFmtId="0" fontId="52" fillId="0" borderId="121" xfId="4" applyFont="1" applyBorder="1" applyAlignment="1">
      <alignment horizontal="center" vertical="center"/>
    </xf>
    <xf numFmtId="0" fontId="55" fillId="0" borderId="0" xfId="4" applyFont="1" applyBorder="1" applyAlignment="1">
      <alignment vertical="center" shrinkToFit="1"/>
    </xf>
    <xf numFmtId="0" fontId="52" fillId="0" borderId="0" xfId="3" applyNumberFormat="1" applyFont="1" applyFill="1" applyBorder="1" applyAlignment="1">
      <alignment horizontal="center" vertical="center"/>
    </xf>
    <xf numFmtId="176" fontId="52" fillId="0" borderId="0" xfId="4" quotePrefix="1" applyNumberFormat="1" applyFont="1" applyFill="1" applyBorder="1" applyAlignment="1">
      <alignment horizontal="center" vertical="center"/>
    </xf>
    <xf numFmtId="0" fontId="52" fillId="0" borderId="123" xfId="4" applyFont="1" applyBorder="1" applyAlignment="1">
      <alignment horizontal="center" vertical="center"/>
    </xf>
    <xf numFmtId="0" fontId="37" fillId="0" borderId="0" xfId="3" applyNumberFormat="1" applyFont="1" applyBorder="1" applyAlignment="1">
      <alignment horizontal="center" vertical="center"/>
    </xf>
    <xf numFmtId="0" fontId="37" fillId="0" borderId="0" xfId="4" applyFont="1" applyBorder="1" applyAlignment="1">
      <alignment vertical="center" shrinkToFit="1"/>
    </xf>
    <xf numFmtId="0" fontId="37" fillId="0" borderId="0" xfId="4" applyFont="1" applyBorder="1" applyAlignment="1">
      <alignment horizontal="center" vertical="center" shrinkToFit="1"/>
    </xf>
    <xf numFmtId="0" fontId="37" fillId="0" borderId="123" xfId="4" applyFont="1" applyBorder="1" applyAlignment="1">
      <alignment horizontal="center" vertical="center"/>
    </xf>
    <xf numFmtId="0" fontId="37" fillId="0" borderId="0" xfId="4" applyFont="1" applyFill="1" applyBorder="1" applyAlignment="1">
      <alignment vertical="center" shrinkToFit="1"/>
    </xf>
    <xf numFmtId="0" fontId="37" fillId="0" borderId="121" xfId="4" applyFont="1" applyBorder="1" applyAlignment="1">
      <alignment vertical="center" shrinkToFit="1"/>
    </xf>
    <xf numFmtId="0" fontId="37" fillId="0" borderId="121" xfId="4" applyFont="1" applyBorder="1" applyAlignment="1">
      <alignment horizontal="center" vertical="center"/>
    </xf>
    <xf numFmtId="0" fontId="38" fillId="0" borderId="0" xfId="4" applyFont="1" applyBorder="1" applyAlignment="1">
      <alignment vertical="center" shrinkToFit="1"/>
    </xf>
    <xf numFmtId="0" fontId="37" fillId="0" borderId="123" xfId="3" applyNumberFormat="1" applyFont="1" applyFill="1" applyBorder="1" applyAlignment="1">
      <alignment horizontal="center" vertical="center"/>
    </xf>
    <xf numFmtId="41" fontId="37" fillId="0" borderId="121" xfId="7" applyNumberFormat="1" applyFont="1" applyFill="1" applyBorder="1" applyAlignment="1">
      <alignment horizontal="center" vertical="center"/>
    </xf>
    <xf numFmtId="0" fontId="38" fillId="0" borderId="121" xfId="6" applyNumberFormat="1" applyFont="1" applyFill="1" applyBorder="1" applyAlignment="1">
      <alignment horizontal="left" vertical="center" shrinkToFit="1"/>
    </xf>
    <xf numFmtId="0" fontId="38" fillId="0" borderId="121" xfId="6" applyNumberFormat="1" applyFont="1" applyFill="1" applyBorder="1" applyAlignment="1">
      <alignment horizontal="center" vertical="center"/>
    </xf>
    <xf numFmtId="176" fontId="37" fillId="0" borderId="0" xfId="4" quotePrefix="1" applyNumberFormat="1" applyFont="1" applyFill="1" applyBorder="1" applyAlignment="1">
      <alignment horizontal="center" vertical="center"/>
    </xf>
    <xf numFmtId="41" fontId="52" fillId="0" borderId="143" xfId="7" applyNumberFormat="1" applyFont="1" applyFill="1" applyBorder="1" applyAlignment="1">
      <alignment horizontal="left" vertical="center"/>
    </xf>
    <xf numFmtId="41" fontId="52" fillId="0" borderId="143" xfId="7" applyNumberFormat="1" applyFont="1" applyFill="1" applyBorder="1" applyAlignment="1">
      <alignment horizontal="center" vertical="center"/>
    </xf>
    <xf numFmtId="180" fontId="37" fillId="0" borderId="121" xfId="3" applyNumberFormat="1" applyFont="1" applyBorder="1" applyAlignment="1">
      <alignment horizontal="center" vertical="center"/>
    </xf>
    <xf numFmtId="180" fontId="52" fillId="0" borderId="0" xfId="5" applyNumberFormat="1" applyFont="1" applyBorder="1" applyAlignment="1">
      <alignment vertical="center" wrapText="1"/>
    </xf>
    <xf numFmtId="180" fontId="38" fillId="0" borderId="0" xfId="5" applyNumberFormat="1" applyFont="1" applyBorder="1" applyAlignment="1">
      <alignment horizontal="center" vertical="center"/>
    </xf>
    <xf numFmtId="180" fontId="37" fillId="0" borderId="0" xfId="5" applyNumberFormat="1" applyFont="1" applyBorder="1" applyAlignment="1">
      <alignment horizontal="center" vertical="center"/>
    </xf>
    <xf numFmtId="41" fontId="37" fillId="0" borderId="121" xfId="7" applyNumberFormat="1" applyFont="1" applyFill="1" applyBorder="1" applyAlignment="1">
      <alignment horizontal="left" vertical="center"/>
    </xf>
    <xf numFmtId="41" fontId="37" fillId="0" borderId="0" xfId="7" applyNumberFormat="1" applyFont="1" applyFill="1" applyBorder="1" applyAlignment="1">
      <alignment horizontal="center" vertical="center"/>
    </xf>
    <xf numFmtId="180" fontId="37" fillId="0" borderId="113" xfId="5" applyNumberFormat="1" applyFont="1" applyBorder="1" applyAlignment="1">
      <alignment horizontal="center" vertical="center"/>
    </xf>
    <xf numFmtId="0" fontId="37" fillId="0" borderId="26" xfId="4" applyFont="1" applyFill="1" applyBorder="1" applyAlignment="1">
      <alignment vertical="center"/>
    </xf>
    <xf numFmtId="0" fontId="37" fillId="0" borderId="175" xfId="4" applyFont="1" applyFill="1" applyBorder="1" applyAlignment="1">
      <alignment vertical="center"/>
    </xf>
    <xf numFmtId="0" fontId="37" fillId="0" borderId="176" xfId="4" applyFont="1" applyFill="1" applyBorder="1" applyAlignment="1">
      <alignment vertical="center"/>
    </xf>
    <xf numFmtId="0" fontId="37" fillId="0" borderId="178" xfId="4" applyFont="1" applyFill="1" applyBorder="1" applyAlignment="1">
      <alignment vertical="center"/>
    </xf>
    <xf numFmtId="0" fontId="37" fillId="0" borderId="22" xfId="4" applyFont="1" applyBorder="1" applyAlignment="1">
      <alignment vertical="center"/>
    </xf>
    <xf numFmtId="177" fontId="52" fillId="0" borderId="0" xfId="0" applyNumberFormat="1" applyFont="1" applyBorder="1">
      <alignment vertical="center"/>
    </xf>
    <xf numFmtId="0" fontId="52" fillId="0" borderId="39" xfId="0" applyFont="1" applyBorder="1">
      <alignment vertical="center"/>
    </xf>
    <xf numFmtId="176" fontId="52" fillId="0" borderId="39" xfId="0" applyNumberFormat="1" applyFont="1" applyBorder="1">
      <alignment vertical="center"/>
    </xf>
    <xf numFmtId="176" fontId="59" fillId="4" borderId="49" xfId="4" applyNumberFormat="1" applyFont="1" applyFill="1" applyBorder="1" applyAlignment="1">
      <alignment horizontal="center" vertical="center"/>
    </xf>
    <xf numFmtId="177" fontId="52" fillId="0" borderId="113" xfId="0" applyNumberFormat="1" applyFont="1" applyBorder="1">
      <alignment vertical="center"/>
    </xf>
    <xf numFmtId="176" fontId="52" fillId="0" borderId="97" xfId="0" applyNumberFormat="1" applyFont="1" applyBorder="1">
      <alignment vertical="center"/>
    </xf>
    <xf numFmtId="41" fontId="52" fillId="0" borderId="0" xfId="7" applyNumberFormat="1" applyFont="1" applyFill="1" applyBorder="1" applyAlignment="1">
      <alignment horizontal="left" vertical="center"/>
    </xf>
    <xf numFmtId="176" fontId="52" fillId="0" borderId="98" xfId="0" applyNumberFormat="1" applyFont="1" applyBorder="1">
      <alignment vertical="center"/>
    </xf>
    <xf numFmtId="0" fontId="55" fillId="0" borderId="123" xfId="6" applyNumberFormat="1" applyFont="1" applyFill="1" applyBorder="1" applyAlignment="1">
      <alignment horizontal="center" vertical="center"/>
    </xf>
    <xf numFmtId="0" fontId="37" fillId="0" borderId="121" xfId="3" applyNumberFormat="1" applyFont="1" applyFill="1" applyBorder="1" applyAlignment="1">
      <alignment horizontal="left" vertical="center"/>
    </xf>
    <xf numFmtId="0" fontId="37" fillId="0" borderId="121" xfId="3" applyNumberFormat="1" applyFont="1" applyFill="1" applyBorder="1" applyAlignment="1">
      <alignment horizontal="center" vertical="center"/>
    </xf>
    <xf numFmtId="0" fontId="38" fillId="0" borderId="0" xfId="3" applyNumberFormat="1" applyFont="1" applyFill="1" applyBorder="1" applyAlignment="1">
      <alignment horizontal="left" vertical="center"/>
    </xf>
    <xf numFmtId="0" fontId="37" fillId="0" borderId="0" xfId="3" applyNumberFormat="1" applyFont="1" applyFill="1" applyBorder="1" applyAlignment="1">
      <alignment vertical="center"/>
    </xf>
    <xf numFmtId="41" fontId="37" fillId="0" borderId="123" xfId="3" applyNumberFormat="1" applyFont="1" applyFill="1" applyBorder="1" applyAlignment="1">
      <alignment vertical="center" shrinkToFit="1"/>
    </xf>
    <xf numFmtId="0" fontId="52" fillId="0" borderId="0" xfId="4" applyFont="1" applyFill="1" applyBorder="1" applyAlignment="1">
      <alignment vertical="center" wrapText="1" shrinkToFit="1"/>
    </xf>
    <xf numFmtId="0" fontId="52" fillId="0" borderId="0" xfId="4" applyFont="1" applyFill="1" applyBorder="1" applyAlignment="1">
      <alignment vertical="center" shrinkToFit="1"/>
    </xf>
    <xf numFmtId="0" fontId="52" fillId="0" borderId="0" xfId="3" applyNumberFormat="1" applyFont="1" applyFill="1" applyBorder="1" applyAlignment="1">
      <alignment horizontal="left" vertical="center"/>
    </xf>
    <xf numFmtId="0" fontId="52" fillId="5" borderId="0" xfId="4" applyFont="1" applyFill="1" applyBorder="1" applyAlignment="1">
      <alignment vertical="center" shrinkToFit="1"/>
    </xf>
    <xf numFmtId="0" fontId="37" fillId="0" borderId="0" xfId="3" applyNumberFormat="1" applyFont="1" applyFill="1" applyBorder="1" applyAlignment="1">
      <alignment vertical="center" shrinkToFit="1"/>
    </xf>
    <xf numFmtId="0" fontId="37" fillId="0" borderId="123" xfId="3" applyNumberFormat="1" applyFont="1" applyFill="1" applyBorder="1" applyAlignment="1">
      <alignment vertical="center" shrinkToFit="1"/>
    </xf>
    <xf numFmtId="176" fontId="37" fillId="0" borderId="121" xfId="4" applyNumberFormat="1" applyFont="1" applyFill="1" applyBorder="1" applyAlignment="1">
      <alignment vertical="center" shrinkToFit="1"/>
    </xf>
    <xf numFmtId="176" fontId="38" fillId="0" borderId="149" xfId="4" applyNumberFormat="1" applyFont="1" applyFill="1" applyBorder="1" applyAlignment="1">
      <alignment vertical="center" wrapText="1" shrinkToFit="1"/>
    </xf>
    <xf numFmtId="176" fontId="37" fillId="0" borderId="0" xfId="4" applyNumberFormat="1" applyFont="1" applyFill="1" applyBorder="1" applyAlignment="1">
      <alignment vertical="center" wrapText="1" shrinkToFit="1"/>
    </xf>
    <xf numFmtId="176" fontId="37" fillId="0" borderId="123" xfId="4" applyNumberFormat="1" applyFont="1" applyFill="1" applyBorder="1" applyAlignment="1">
      <alignment vertical="center" wrapText="1" shrinkToFit="1"/>
    </xf>
    <xf numFmtId="176" fontId="38" fillId="0" borderId="121" xfId="4" applyNumberFormat="1" applyFont="1" applyFill="1" applyBorder="1" applyAlignment="1">
      <alignment vertical="center" shrinkToFit="1"/>
    </xf>
    <xf numFmtId="176" fontId="38" fillId="0" borderId="149" xfId="4" applyNumberFormat="1" applyFont="1" applyFill="1" applyBorder="1" applyAlignment="1">
      <alignment vertical="center" shrinkToFit="1"/>
    </xf>
    <xf numFmtId="176" fontId="37" fillId="0" borderId="0" xfId="4" applyNumberFormat="1" applyFont="1" applyFill="1" applyBorder="1" applyAlignment="1">
      <alignment vertical="center" shrinkToFit="1"/>
    </xf>
    <xf numFmtId="41" fontId="37" fillId="0" borderId="121" xfId="3" applyNumberFormat="1" applyFont="1" applyFill="1" applyBorder="1" applyAlignment="1">
      <alignment vertical="center" shrinkToFit="1"/>
    </xf>
    <xf numFmtId="0" fontId="37" fillId="0" borderId="123" xfId="4" applyFont="1" applyFill="1" applyBorder="1" applyAlignment="1">
      <alignment vertical="center" shrinkToFit="1"/>
    </xf>
    <xf numFmtId="176" fontId="37" fillId="0" borderId="123" xfId="4" applyNumberFormat="1" applyFont="1" applyFill="1" applyBorder="1" applyAlignment="1">
      <alignment vertical="center" shrinkToFit="1"/>
    </xf>
    <xf numFmtId="0" fontId="37" fillId="0" borderId="0" xfId="3" applyNumberFormat="1" applyFont="1" applyBorder="1" applyAlignment="1">
      <alignment vertical="center"/>
    </xf>
    <xf numFmtId="0" fontId="37" fillId="0" borderId="0" xfId="12" applyFont="1" applyBorder="1" applyAlignment="1">
      <alignment vertical="center"/>
    </xf>
    <xf numFmtId="0" fontId="52" fillId="0" borderId="0" xfId="12" applyFont="1" applyBorder="1" applyAlignment="1">
      <alignment horizontal="left" vertical="center" shrinkToFit="1"/>
    </xf>
    <xf numFmtId="0" fontId="52" fillId="0" borderId="0" xfId="12" applyFont="1" applyBorder="1" applyAlignment="1">
      <alignment vertical="center"/>
    </xf>
    <xf numFmtId="0" fontId="52" fillId="0" borderId="0" xfId="4" applyFont="1" applyBorder="1" applyAlignment="1">
      <alignment horizontal="left" vertical="center" shrinkToFit="1"/>
    </xf>
    <xf numFmtId="0" fontId="55" fillId="0" borderId="0" xfId="4" applyFont="1" applyBorder="1" applyAlignment="1">
      <alignment horizontal="left" vertical="center" shrinkToFit="1"/>
    </xf>
    <xf numFmtId="0" fontId="52" fillId="0" borderId="0" xfId="3" applyNumberFormat="1" applyFont="1" applyFill="1" applyBorder="1" applyAlignment="1">
      <alignment vertical="center"/>
    </xf>
    <xf numFmtId="176" fontId="55" fillId="0" borderId="0" xfId="3" applyNumberFormat="1" applyFont="1" applyFill="1" applyBorder="1" applyAlignment="1">
      <alignment vertical="center"/>
    </xf>
    <xf numFmtId="0" fontId="52" fillId="0" borderId="0" xfId="12" applyFont="1" applyFill="1" applyBorder="1" applyAlignment="1">
      <alignment vertical="center"/>
    </xf>
    <xf numFmtId="0" fontId="37" fillId="0" borderId="0" xfId="4" applyFont="1" applyBorder="1" applyAlignment="1">
      <alignment horizontal="left" vertical="center" shrinkToFit="1"/>
    </xf>
    <xf numFmtId="0" fontId="37" fillId="0" borderId="123" xfId="3" applyNumberFormat="1" applyFont="1" applyFill="1" applyBorder="1" applyAlignment="1">
      <alignment vertical="center"/>
    </xf>
    <xf numFmtId="0" fontId="38" fillId="0" borderId="0" xfId="4" applyFont="1" applyBorder="1" applyAlignment="1">
      <alignment horizontal="left" vertical="center" shrinkToFit="1"/>
    </xf>
    <xf numFmtId="0" fontId="37" fillId="0" borderId="121" xfId="7" applyNumberFormat="1" applyFont="1" applyFill="1" applyBorder="1" applyAlignment="1">
      <alignment horizontal="left" vertical="center"/>
    </xf>
    <xf numFmtId="176" fontId="38" fillId="0" borderId="0" xfId="3" applyNumberFormat="1" applyFont="1" applyFill="1" applyBorder="1" applyAlignment="1">
      <alignment vertical="center"/>
    </xf>
    <xf numFmtId="180" fontId="37" fillId="0" borderId="121" xfId="3" applyNumberFormat="1" applyFont="1" applyBorder="1" applyAlignment="1">
      <alignment vertical="center"/>
    </xf>
    <xf numFmtId="180" fontId="52" fillId="0" borderId="0" xfId="5" applyNumberFormat="1" applyFont="1" applyBorder="1" applyAlignment="1">
      <alignment vertical="center"/>
    </xf>
    <xf numFmtId="180" fontId="52" fillId="0" borderId="123" xfId="5" applyNumberFormat="1" applyFont="1" applyBorder="1" applyAlignment="1">
      <alignment vertical="center"/>
    </xf>
    <xf numFmtId="180" fontId="37" fillId="0" borderId="123" xfId="5" applyNumberFormat="1" applyFont="1" applyBorder="1" applyAlignment="1">
      <alignment horizontal="center" vertical="center"/>
    </xf>
    <xf numFmtId="180" fontId="37" fillId="0" borderId="123" xfId="3" applyNumberFormat="1" applyFont="1" applyBorder="1" applyAlignment="1">
      <alignment vertical="center"/>
    </xf>
    <xf numFmtId="180" fontId="37" fillId="0" borderId="123" xfId="3" applyNumberFormat="1" applyFont="1" applyBorder="1" applyAlignment="1">
      <alignment horizontal="center" vertical="center"/>
    </xf>
    <xf numFmtId="180" fontId="38" fillId="0" borderId="0" xfId="5" applyNumberFormat="1" applyFont="1" applyBorder="1" applyAlignment="1">
      <alignment vertical="center"/>
    </xf>
    <xf numFmtId="0" fontId="37" fillId="0" borderId="113" xfId="12" applyFont="1" applyBorder="1" applyAlignment="1">
      <alignment vertical="center"/>
    </xf>
    <xf numFmtId="176" fontId="37" fillId="0" borderId="113" xfId="4" quotePrefix="1" applyNumberFormat="1" applyFont="1" applyFill="1" applyBorder="1" applyAlignment="1">
      <alignment horizontal="center" vertical="center"/>
    </xf>
    <xf numFmtId="176" fontId="37" fillId="0" borderId="123" xfId="3" applyNumberFormat="1" applyFont="1" applyFill="1" applyBorder="1" applyAlignment="1">
      <alignment vertical="center"/>
    </xf>
    <xf numFmtId="176" fontId="37" fillId="0" borderId="123" xfId="4" quotePrefix="1" applyNumberFormat="1" applyFont="1" applyFill="1" applyBorder="1" applyAlignment="1">
      <alignment horizontal="center" vertical="center"/>
    </xf>
    <xf numFmtId="0" fontId="37" fillId="0" borderId="123" xfId="4" applyFont="1" applyBorder="1" applyAlignment="1">
      <alignment horizontal="left" vertical="center" shrinkToFit="1"/>
    </xf>
    <xf numFmtId="0" fontId="37" fillId="0" borderId="123" xfId="4" applyFont="1" applyBorder="1" applyAlignment="1">
      <alignment vertical="center" shrinkToFit="1"/>
    </xf>
    <xf numFmtId="0" fontId="38" fillId="0" borderId="0" xfId="4" applyFont="1" applyFill="1" applyBorder="1" applyAlignment="1">
      <alignment vertical="center"/>
    </xf>
    <xf numFmtId="0" fontId="37" fillId="0" borderId="123" xfId="6" applyNumberFormat="1" applyFont="1" applyFill="1" applyBorder="1" applyAlignment="1">
      <alignment horizontal="left" vertical="center" shrinkToFit="1"/>
    </xf>
    <xf numFmtId="0" fontId="37" fillId="0" borderId="123" xfId="6" applyNumberFormat="1" applyFont="1" applyFill="1" applyBorder="1" applyAlignment="1">
      <alignment horizontal="center" vertical="center" shrinkToFit="1"/>
    </xf>
    <xf numFmtId="0" fontId="38" fillId="0" borderId="0" xfId="4" applyFont="1" applyBorder="1" applyAlignment="1">
      <alignment vertical="center"/>
    </xf>
    <xf numFmtId="41" fontId="37" fillId="0" borderId="123" xfId="3" applyNumberFormat="1" applyFont="1" applyBorder="1" applyAlignment="1">
      <alignment horizontal="left" vertical="center" shrinkToFit="1"/>
    </xf>
    <xf numFmtId="0" fontId="37" fillId="0" borderId="123" xfId="4" applyFont="1" applyBorder="1" applyAlignment="1">
      <alignment horizontal="center" vertical="center" shrinkToFit="1"/>
    </xf>
    <xf numFmtId="41" fontId="52" fillId="0" borderId="123" xfId="3" applyNumberFormat="1" applyFont="1" applyBorder="1" applyAlignment="1">
      <alignment horizontal="left" vertical="center" shrinkToFit="1"/>
    </xf>
    <xf numFmtId="41" fontId="38" fillId="0" borderId="0" xfId="3" applyNumberFormat="1" applyFont="1" applyBorder="1" applyAlignment="1">
      <alignment horizontal="left" vertical="center" shrinkToFit="1"/>
    </xf>
    <xf numFmtId="41" fontId="52" fillId="0" borderId="123" xfId="3" applyNumberFormat="1" applyFont="1" applyFill="1" applyBorder="1" applyAlignment="1">
      <alignment horizontal="left" vertical="center" shrinkToFit="1"/>
    </xf>
    <xf numFmtId="41" fontId="52" fillId="0" borderId="123" xfId="3" applyNumberFormat="1" applyFont="1" applyBorder="1" applyAlignment="1">
      <alignment vertical="center" shrinkToFit="1"/>
    </xf>
    <xf numFmtId="41" fontId="52" fillId="0" borderId="123" xfId="3" applyNumberFormat="1" applyFont="1" applyBorder="1" applyAlignment="1">
      <alignment horizontal="center" vertical="center" shrinkToFit="1"/>
    </xf>
    <xf numFmtId="0" fontId="52" fillId="0" borderId="123" xfId="12" applyFont="1" applyFill="1" applyBorder="1" applyAlignment="1">
      <alignment vertical="center"/>
    </xf>
    <xf numFmtId="0" fontId="37" fillId="0" borderId="123" xfId="3" applyNumberFormat="1" applyFont="1" applyBorder="1" applyAlignment="1">
      <alignment horizontal="center" vertical="center"/>
    </xf>
    <xf numFmtId="0" fontId="55" fillId="0" borderId="0" xfId="3" applyNumberFormat="1" applyFont="1" applyBorder="1" applyAlignment="1">
      <alignment horizontal="left" vertical="center"/>
    </xf>
    <xf numFmtId="0" fontId="37" fillId="0" borderId="123" xfId="3" applyNumberFormat="1" applyFont="1" applyBorder="1" applyAlignment="1">
      <alignment horizontal="left" vertical="center"/>
    </xf>
    <xf numFmtId="0" fontId="52" fillId="0" borderId="123" xfId="4" applyFont="1" applyBorder="1" applyAlignment="1">
      <alignment vertical="center" shrinkToFit="1"/>
    </xf>
    <xf numFmtId="176" fontId="52" fillId="0" borderId="123" xfId="3" applyNumberFormat="1" applyFont="1" applyFill="1" applyBorder="1" applyAlignment="1">
      <alignment vertical="center"/>
    </xf>
    <xf numFmtId="176" fontId="52" fillId="0" borderId="123" xfId="4" quotePrefix="1" applyNumberFormat="1" applyFont="1" applyFill="1" applyBorder="1" applyAlignment="1">
      <alignment horizontal="center" vertical="center"/>
    </xf>
    <xf numFmtId="0" fontId="55" fillId="0" borderId="148" xfId="4" applyFont="1" applyFill="1" applyBorder="1" applyAlignment="1">
      <alignment vertical="center"/>
    </xf>
    <xf numFmtId="41" fontId="52" fillId="0" borderId="39" xfId="0" applyNumberFormat="1" applyFont="1" applyBorder="1" applyAlignment="1">
      <alignment horizontal="right" vertical="center"/>
    </xf>
    <xf numFmtId="0" fontId="38" fillId="0" borderId="123" xfId="4" applyFont="1" applyFill="1" applyBorder="1" applyAlignment="1">
      <alignment horizontal="center" vertical="center" shrinkToFit="1"/>
    </xf>
    <xf numFmtId="0" fontId="52" fillId="0" borderId="123" xfId="4" applyFont="1" applyBorder="1" applyAlignment="1">
      <alignment horizontal="left" vertical="center" shrinkToFit="1"/>
    </xf>
    <xf numFmtId="0" fontId="52" fillId="0" borderId="123" xfId="4" applyFont="1" applyBorder="1" applyAlignment="1">
      <alignment horizontal="center" vertical="center" shrinkToFit="1"/>
    </xf>
    <xf numFmtId="41" fontId="55" fillId="0" borderId="0" xfId="3" applyNumberFormat="1" applyFont="1" applyBorder="1" applyAlignment="1">
      <alignment horizontal="left" vertical="center" shrinkToFit="1"/>
    </xf>
    <xf numFmtId="0" fontId="52" fillId="0" borderId="123" xfId="12" applyFont="1" applyBorder="1" applyAlignment="1">
      <alignment vertical="center"/>
    </xf>
    <xf numFmtId="176" fontId="38" fillId="0" borderId="0" xfId="4" applyNumberFormat="1" applyFont="1" applyFill="1" applyBorder="1" applyAlignment="1">
      <alignment vertical="center" wrapText="1" shrinkToFit="1"/>
    </xf>
    <xf numFmtId="176" fontId="38" fillId="0" borderId="0" xfId="4" applyNumberFormat="1" applyFont="1" applyFill="1" applyBorder="1" applyAlignment="1">
      <alignment vertical="center" shrinkToFit="1"/>
    </xf>
    <xf numFmtId="176" fontId="38" fillId="0" borderId="123" xfId="4" applyNumberFormat="1" applyFont="1" applyFill="1" applyBorder="1" applyAlignment="1">
      <alignment vertical="center" shrinkToFit="1"/>
    </xf>
    <xf numFmtId="0" fontId="37" fillId="0" borderId="123" xfId="4" applyFont="1" applyFill="1" applyBorder="1" applyAlignment="1">
      <alignment horizontal="center" vertical="center" shrinkToFit="1"/>
    </xf>
    <xf numFmtId="0" fontId="55" fillId="0" borderId="0" xfId="4" applyFont="1" applyFill="1" applyBorder="1" applyAlignment="1">
      <alignment vertical="center" shrinkToFit="1"/>
    </xf>
    <xf numFmtId="0" fontId="38" fillId="0" borderId="0" xfId="4" applyFont="1" applyFill="1" applyBorder="1" applyAlignment="1">
      <alignment vertical="center" shrinkToFit="1"/>
    </xf>
    <xf numFmtId="41" fontId="52" fillId="0" borderId="123" xfId="3" applyFont="1" applyFill="1" applyBorder="1" applyAlignment="1">
      <alignment vertical="center"/>
    </xf>
    <xf numFmtId="0" fontId="37" fillId="0" borderId="123" xfId="4" applyFont="1" applyFill="1" applyBorder="1" applyAlignment="1">
      <alignment horizontal="center" vertical="center"/>
    </xf>
    <xf numFmtId="0" fontId="37" fillId="0" borderId="123" xfId="3" applyNumberFormat="1" applyFont="1" applyFill="1" applyBorder="1" applyAlignment="1">
      <alignment horizontal="left" vertical="center"/>
    </xf>
    <xf numFmtId="0" fontId="37" fillId="0" borderId="0" xfId="3" applyNumberFormat="1" applyFont="1" applyFill="1" applyBorder="1" applyAlignment="1">
      <alignment horizontal="center" vertical="center" shrinkToFit="1"/>
    </xf>
    <xf numFmtId="0" fontId="55" fillId="0" borderId="123" xfId="3" applyNumberFormat="1" applyFont="1" applyFill="1" applyBorder="1" applyAlignment="1">
      <alignment horizontal="left" vertical="center"/>
    </xf>
    <xf numFmtId="0" fontId="37" fillId="0" borderId="123" xfId="3" applyNumberFormat="1" applyFont="1" applyFill="1" applyBorder="1" applyAlignment="1">
      <alignment horizontal="center" vertical="center" shrinkToFit="1"/>
    </xf>
    <xf numFmtId="0" fontId="38" fillId="0" borderId="0" xfId="3" applyNumberFormat="1" applyFont="1" applyFill="1" applyBorder="1" applyAlignment="1">
      <alignment vertical="center" shrinkToFit="1"/>
    </xf>
    <xf numFmtId="0" fontId="37" fillId="0" borderId="123" xfId="4" applyFont="1" applyFill="1" applyBorder="1" applyAlignment="1">
      <alignment vertical="center" wrapText="1" shrinkToFit="1"/>
    </xf>
    <xf numFmtId="0" fontId="52" fillId="0" borderId="123" xfId="4" applyFont="1" applyFill="1" applyBorder="1" applyAlignment="1">
      <alignment vertical="center" wrapText="1" shrinkToFit="1"/>
    </xf>
    <xf numFmtId="0" fontId="52" fillId="5" borderId="123" xfId="4" applyFont="1" applyFill="1" applyBorder="1" applyAlignment="1">
      <alignment vertical="center" shrinkToFit="1"/>
    </xf>
    <xf numFmtId="180" fontId="75" fillId="0" borderId="113" xfId="4" applyNumberFormat="1" applyFont="1" applyFill="1" applyBorder="1" applyAlignment="1">
      <alignment vertical="center"/>
    </xf>
    <xf numFmtId="41" fontId="52" fillId="0" borderId="113" xfId="3" applyNumberFormat="1" applyFont="1" applyFill="1" applyBorder="1" applyAlignment="1">
      <alignment vertical="center"/>
    </xf>
    <xf numFmtId="177" fontId="59" fillId="0" borderId="113" xfId="3" applyNumberFormat="1" applyFont="1" applyFill="1" applyBorder="1" applyAlignment="1">
      <alignment vertical="center"/>
    </xf>
    <xf numFmtId="0" fontId="59" fillId="0" borderId="113" xfId="3" applyNumberFormat="1" applyFont="1" applyFill="1" applyBorder="1" applyAlignment="1">
      <alignment vertical="center"/>
    </xf>
    <xf numFmtId="41" fontId="59" fillId="0" borderId="113" xfId="3" applyNumberFormat="1" applyFont="1" applyFill="1" applyBorder="1" applyAlignment="1">
      <alignment horizontal="center" vertical="center"/>
    </xf>
    <xf numFmtId="41" fontId="52" fillId="0" borderId="113" xfId="7" applyNumberFormat="1" applyFont="1" applyFill="1" applyBorder="1" applyAlignment="1">
      <alignment horizontal="right" vertical="center"/>
    </xf>
    <xf numFmtId="0" fontId="59" fillId="0" borderId="37" xfId="4" applyNumberFormat="1" applyFont="1" applyFill="1" applyBorder="1" applyAlignment="1">
      <alignment vertical="center"/>
    </xf>
    <xf numFmtId="0" fontId="59" fillId="0" borderId="118" xfId="4" applyNumberFormat="1" applyFont="1" applyFill="1" applyBorder="1" applyAlignment="1">
      <alignment vertical="center"/>
    </xf>
    <xf numFmtId="0" fontId="59" fillId="0" borderId="5" xfId="4" applyNumberFormat="1" applyFont="1" applyFill="1" applyBorder="1" applyAlignment="1">
      <alignment vertical="center"/>
    </xf>
    <xf numFmtId="0" fontId="59" fillId="0" borderId="37" xfId="4" applyNumberFormat="1" applyFont="1" applyFill="1" applyBorder="1" applyAlignment="1">
      <alignment vertical="top"/>
    </xf>
    <xf numFmtId="0" fontId="59" fillId="0" borderId="118" xfId="4" applyNumberFormat="1" applyFont="1" applyFill="1" applyBorder="1" applyAlignment="1">
      <alignment vertical="center" shrinkToFit="1"/>
    </xf>
    <xf numFmtId="0" fontId="59" fillId="0" borderId="37" xfId="4" applyNumberFormat="1" applyFont="1" applyFill="1" applyBorder="1" applyAlignment="1">
      <alignment vertical="center" shrinkToFit="1"/>
    </xf>
    <xf numFmtId="0" fontId="75" fillId="0" borderId="121" xfId="4" applyNumberFormat="1" applyFont="1" applyFill="1" applyBorder="1" applyAlignment="1">
      <alignment vertical="top"/>
    </xf>
    <xf numFmtId="0" fontId="75" fillId="0" borderId="30" xfId="4" applyNumberFormat="1" applyFont="1" applyFill="1" applyBorder="1" applyAlignment="1">
      <alignment vertical="top"/>
    </xf>
    <xf numFmtId="0" fontId="59" fillId="0" borderId="36" xfId="4" applyNumberFormat="1" applyFont="1" applyFill="1" applyBorder="1" applyAlignment="1">
      <alignment vertical="center" wrapText="1"/>
    </xf>
    <xf numFmtId="0" fontId="59" fillId="0" borderId="36" xfId="4" applyNumberFormat="1" applyFont="1" applyFill="1" applyBorder="1" applyAlignment="1">
      <alignment vertical="center"/>
    </xf>
    <xf numFmtId="0" fontId="37" fillId="0" borderId="118" xfId="4" applyNumberFormat="1" applyFont="1" applyFill="1" applyBorder="1" applyAlignment="1">
      <alignment vertical="center"/>
    </xf>
    <xf numFmtId="0" fontId="37" fillId="0" borderId="37" xfId="4" applyNumberFormat="1" applyFont="1" applyFill="1" applyBorder="1" applyAlignment="1">
      <alignment vertical="center"/>
    </xf>
    <xf numFmtId="0" fontId="59" fillId="0" borderId="16" xfId="4" applyNumberFormat="1" applyFont="1" applyFill="1" applyBorder="1" applyAlignment="1">
      <alignment vertical="center"/>
    </xf>
    <xf numFmtId="0" fontId="59" fillId="0" borderId="120" xfId="4" applyNumberFormat="1" applyFont="1" applyFill="1" applyBorder="1" applyAlignment="1">
      <alignment vertical="center"/>
    </xf>
    <xf numFmtId="0" fontId="59" fillId="0" borderId="30" xfId="4" applyNumberFormat="1" applyFont="1" applyFill="1" applyBorder="1" applyAlignment="1">
      <alignment vertical="center"/>
    </xf>
    <xf numFmtId="0" fontId="54" fillId="0" borderId="147" xfId="6" applyNumberFormat="1" applyFont="1" applyFill="1" applyBorder="1" applyAlignment="1">
      <alignment vertical="center"/>
    </xf>
    <xf numFmtId="38" fontId="59" fillId="0" borderId="37" xfId="4" applyNumberFormat="1" applyFont="1" applyFill="1" applyBorder="1" applyAlignment="1">
      <alignment vertical="center"/>
    </xf>
    <xf numFmtId="0" fontId="59" fillId="0" borderId="118" xfId="4" applyNumberFormat="1" applyFont="1" applyFill="1" applyBorder="1" applyAlignment="1">
      <alignment vertical="top"/>
    </xf>
    <xf numFmtId="0" fontId="59" fillId="0" borderId="37" xfId="4" applyNumberFormat="1" applyFont="1" applyFill="1" applyBorder="1" applyAlignment="1">
      <alignment horizontal="left" vertical="top"/>
    </xf>
    <xf numFmtId="38" fontId="59" fillId="0" borderId="37" xfId="4" applyNumberFormat="1" applyFont="1" applyFill="1" applyBorder="1" applyAlignment="1">
      <alignment horizontal="left" vertical="top"/>
    </xf>
    <xf numFmtId="0" fontId="75" fillId="0" borderId="120" xfId="4" applyNumberFormat="1" applyFont="1" applyFill="1" applyBorder="1" applyAlignment="1">
      <alignment vertical="center"/>
    </xf>
    <xf numFmtId="0" fontId="59" fillId="0" borderId="121" xfId="4" applyNumberFormat="1" applyFont="1" applyFill="1" applyBorder="1" applyAlignment="1">
      <alignment vertical="center"/>
    </xf>
    <xf numFmtId="0" fontId="59" fillId="0" borderId="121" xfId="4" applyNumberFormat="1" applyFont="1" applyFill="1" applyBorder="1" applyAlignment="1">
      <alignment vertical="top"/>
    </xf>
    <xf numFmtId="38" fontId="59" fillId="0" borderId="30" xfId="4" applyNumberFormat="1" applyFont="1" applyFill="1" applyBorder="1" applyAlignment="1">
      <alignment horizontal="left" vertical="top"/>
    </xf>
    <xf numFmtId="38" fontId="75" fillId="0" borderId="30" xfId="4" applyNumberFormat="1" applyFont="1" applyFill="1" applyBorder="1" applyAlignment="1">
      <alignment horizontal="left" vertical="top"/>
    </xf>
    <xf numFmtId="0" fontId="75" fillId="0" borderId="118" xfId="4" applyNumberFormat="1" applyFont="1" applyFill="1" applyBorder="1" applyAlignment="1">
      <alignment vertical="center"/>
    </xf>
    <xf numFmtId="38" fontId="59" fillId="0" borderId="36" xfId="4" applyNumberFormat="1" applyFont="1" applyFill="1" applyBorder="1" applyAlignment="1">
      <alignment horizontal="left" vertical="center"/>
    </xf>
    <xf numFmtId="0" fontId="59" fillId="0" borderId="0" xfId="4" applyNumberFormat="1" applyFont="1" applyFill="1" applyBorder="1" applyAlignment="1">
      <alignment vertical="center"/>
    </xf>
    <xf numFmtId="38" fontId="59" fillId="0" borderId="36" xfId="4" applyNumberFormat="1" applyFont="1" applyFill="1" applyBorder="1" applyAlignment="1">
      <alignment horizontal="left" vertical="top"/>
    </xf>
    <xf numFmtId="0" fontId="59" fillId="0" borderId="26" xfId="5" applyNumberFormat="1" applyFont="1" applyFill="1" applyBorder="1" applyAlignment="1">
      <alignment vertical="center"/>
    </xf>
    <xf numFmtId="0" fontId="59" fillId="0" borderId="37" xfId="5" applyNumberFormat="1" applyFont="1" applyFill="1" applyBorder="1" applyAlignment="1">
      <alignment vertical="center" wrapText="1"/>
    </xf>
    <xf numFmtId="0" fontId="78" fillId="0" borderId="37" xfId="4" applyNumberFormat="1" applyFont="1" applyFill="1" applyBorder="1" applyAlignment="1">
      <alignment vertical="center"/>
    </xf>
    <xf numFmtId="0" fontId="78" fillId="0" borderId="0" xfId="4" applyNumberFormat="1" applyFont="1" applyFill="1" applyBorder="1" applyAlignment="1">
      <alignment vertical="center"/>
    </xf>
    <xf numFmtId="0" fontId="59" fillId="0" borderId="118" xfId="5" applyNumberFormat="1" applyFont="1" applyFill="1" applyBorder="1" applyAlignment="1">
      <alignment vertical="center" wrapText="1"/>
    </xf>
    <xf numFmtId="0" fontId="59" fillId="0" borderId="119" xfId="5" applyNumberFormat="1" applyFont="1" applyFill="1" applyBorder="1" applyAlignment="1">
      <alignment vertical="center" wrapText="1"/>
    </xf>
    <xf numFmtId="0" fontId="59" fillId="0" borderId="36" xfId="5" applyNumberFormat="1" applyFont="1" applyFill="1" applyBorder="1" applyAlignment="1">
      <alignment vertical="center" wrapText="1"/>
    </xf>
    <xf numFmtId="0" fontId="59" fillId="0" borderId="124" xfId="5" applyNumberFormat="1" applyFont="1" applyFill="1" applyBorder="1" applyAlignment="1">
      <alignment vertical="center"/>
    </xf>
    <xf numFmtId="0" fontId="59" fillId="0" borderId="29" xfId="5" applyNumberFormat="1" applyFont="1" applyFill="1" applyBorder="1" applyAlignment="1">
      <alignment vertical="center" wrapText="1"/>
    </xf>
    <xf numFmtId="0" fontId="79" fillId="0" borderId="37" xfId="5" applyNumberFormat="1" applyFont="1" applyFill="1" applyBorder="1" applyAlignment="1">
      <alignment vertical="center" wrapText="1"/>
    </xf>
    <xf numFmtId="0" fontId="59" fillId="0" borderId="119" xfId="5" applyNumberFormat="1" applyFont="1" applyFill="1" applyBorder="1" applyAlignment="1">
      <alignment vertical="center" shrinkToFit="1"/>
    </xf>
    <xf numFmtId="0" fontId="59" fillId="0" borderId="37" xfId="5" applyNumberFormat="1" applyFont="1" applyFill="1" applyBorder="1" applyAlignment="1">
      <alignment vertical="center"/>
    </xf>
    <xf numFmtId="0" fontId="59" fillId="0" borderId="36" xfId="5" applyNumberFormat="1" applyFont="1" applyFill="1" applyBorder="1" applyAlignment="1">
      <alignment vertical="center"/>
    </xf>
    <xf numFmtId="0" fontId="59" fillId="0" borderId="16" xfId="5" applyNumberFormat="1" applyFont="1" applyFill="1" applyBorder="1" applyAlignment="1">
      <alignment vertical="top" wrapText="1"/>
    </xf>
    <xf numFmtId="0" fontId="59" fillId="0" borderId="118" xfId="5" applyNumberFormat="1" applyFont="1" applyFill="1" applyBorder="1" applyAlignment="1">
      <alignment vertical="center"/>
    </xf>
    <xf numFmtId="0" fontId="59" fillId="0" borderId="36" xfId="4" applyNumberFormat="1" applyFont="1" applyFill="1" applyBorder="1" applyAlignment="1">
      <alignment vertical="center" shrinkToFit="1"/>
    </xf>
    <xf numFmtId="0" fontId="59" fillId="0" borderId="149" xfId="3" applyNumberFormat="1" applyFont="1" applyFill="1" applyBorder="1" applyAlignment="1">
      <alignment horizontal="center" vertical="center"/>
    </xf>
    <xf numFmtId="0" fontId="59" fillId="0" borderId="0" xfId="3" applyNumberFormat="1" applyFont="1" applyFill="1" applyBorder="1" applyAlignment="1">
      <alignment horizontal="center" vertical="center"/>
    </xf>
    <xf numFmtId="0" fontId="37" fillId="0" borderId="0" xfId="13" quotePrefix="1" applyNumberFormat="1" applyFont="1" applyFill="1" applyBorder="1" applyAlignment="1">
      <alignment horizontal="center" vertical="center"/>
    </xf>
    <xf numFmtId="0" fontId="37" fillId="0" borderId="0" xfId="13" applyNumberFormat="1" applyFont="1" applyFill="1" applyBorder="1" applyAlignment="1">
      <alignment horizontal="center" vertical="center"/>
    </xf>
    <xf numFmtId="0" fontId="38" fillId="0" borderId="149" xfId="14" quotePrefix="1" applyNumberFormat="1" applyFont="1" applyFill="1" applyBorder="1" applyAlignment="1">
      <alignment horizontal="center" vertical="center"/>
    </xf>
    <xf numFmtId="0" fontId="38" fillId="0" borderId="121" xfId="3" applyNumberFormat="1" applyFont="1" applyFill="1" applyBorder="1" applyAlignment="1">
      <alignment horizontal="left" vertical="center"/>
    </xf>
    <xf numFmtId="0" fontId="38" fillId="0" borderId="121" xfId="13" quotePrefix="1" applyNumberFormat="1" applyFont="1" applyFill="1" applyBorder="1" applyAlignment="1">
      <alignment horizontal="center" vertical="center"/>
    </xf>
    <xf numFmtId="0" fontId="37" fillId="0" borderId="121" xfId="4" applyNumberFormat="1" applyFont="1" applyFill="1" applyBorder="1" applyAlignment="1">
      <alignment vertical="center"/>
    </xf>
    <xf numFmtId="0" fontId="37" fillId="0" borderId="121" xfId="4" applyNumberFormat="1" applyFont="1" applyFill="1" applyBorder="1" applyAlignment="1">
      <alignment horizontal="center" vertical="center"/>
    </xf>
    <xf numFmtId="0" fontId="37" fillId="0" borderId="149" xfId="4" quotePrefix="1" applyNumberFormat="1" applyFont="1" applyFill="1" applyBorder="1" applyAlignment="1">
      <alignment horizontal="center" vertical="center"/>
    </xf>
    <xf numFmtId="0" fontId="37" fillId="0" borderId="0" xfId="14" applyNumberFormat="1" applyFont="1" applyFill="1" applyBorder="1" applyAlignment="1">
      <alignment vertical="center"/>
    </xf>
    <xf numFmtId="0" fontId="37" fillId="0" borderId="0" xfId="4" quotePrefix="1" applyNumberFormat="1" applyFont="1" applyFill="1" applyBorder="1" applyAlignment="1">
      <alignment horizontal="center" vertical="center"/>
    </xf>
    <xf numFmtId="0" fontId="37" fillId="0" borderId="0" xfId="4" applyNumberFormat="1" applyFont="1" applyFill="1" applyBorder="1" applyAlignment="1">
      <alignment vertical="center"/>
    </xf>
    <xf numFmtId="0" fontId="52" fillId="0" borderId="0" xfId="4" applyNumberFormat="1" applyFont="1" applyFill="1" applyBorder="1" applyAlignment="1">
      <alignment vertical="center"/>
    </xf>
    <xf numFmtId="0" fontId="37" fillId="0" borderId="0" xfId="5" applyNumberFormat="1" applyFont="1" applyFill="1" applyBorder="1" applyAlignment="1">
      <alignment vertical="center"/>
    </xf>
    <xf numFmtId="0" fontId="37" fillId="0" borderId="0" xfId="5" quotePrefix="1" applyNumberFormat="1" applyFont="1" applyFill="1" applyBorder="1" applyAlignment="1">
      <alignment horizontal="center" vertical="center"/>
    </xf>
    <xf numFmtId="0" fontId="52" fillId="0" borderId="0" xfId="5" applyNumberFormat="1" applyFont="1" applyFill="1" applyBorder="1" applyAlignment="1">
      <alignment vertical="center"/>
    </xf>
    <xf numFmtId="0" fontId="52" fillId="0" borderId="0" xfId="14" applyNumberFormat="1" applyFont="1" applyFill="1" applyBorder="1" applyAlignment="1">
      <alignment vertical="center"/>
    </xf>
    <xf numFmtId="176" fontId="52" fillId="0" borderId="0" xfId="5" quotePrefix="1" applyNumberFormat="1" applyFont="1" applyFill="1" applyBorder="1" applyAlignment="1">
      <alignment horizontal="center" vertical="center"/>
    </xf>
    <xf numFmtId="0" fontId="38" fillId="0" borderId="149" xfId="4" applyNumberFormat="1" applyFont="1" applyFill="1" applyBorder="1" applyAlignment="1">
      <alignment vertical="center"/>
    </xf>
    <xf numFmtId="0" fontId="38" fillId="0" borderId="149" xfId="5" applyNumberFormat="1" applyFont="1" applyFill="1" applyBorder="1" applyAlignment="1">
      <alignment vertical="center"/>
    </xf>
    <xf numFmtId="0" fontId="37" fillId="0" borderId="149" xfId="5" quotePrefix="1" applyNumberFormat="1" applyFont="1" applyFill="1" applyBorder="1" applyAlignment="1">
      <alignment horizontal="center" vertical="center"/>
    </xf>
    <xf numFmtId="0" fontId="37" fillId="0" borderId="123" xfId="5" quotePrefix="1" applyNumberFormat="1" applyFont="1" applyFill="1" applyBorder="1" applyAlignment="1">
      <alignment horizontal="center" vertical="center"/>
    </xf>
    <xf numFmtId="0" fontId="37" fillId="0" borderId="121" xfId="4" applyNumberFormat="1" applyFont="1" applyFill="1" applyBorder="1" applyAlignment="1">
      <alignment vertical="center" shrinkToFit="1"/>
    </xf>
    <xf numFmtId="0" fontId="37" fillId="0" borderId="121" xfId="4" quotePrefix="1" applyNumberFormat="1" applyFont="1" applyFill="1" applyBorder="1" applyAlignment="1">
      <alignment horizontal="center" vertical="center"/>
    </xf>
    <xf numFmtId="0" fontId="37" fillId="0" borderId="0" xfId="5" applyNumberFormat="1" applyFont="1" applyFill="1" applyBorder="1" applyAlignment="1">
      <alignment vertical="center" shrinkToFit="1"/>
    </xf>
    <xf numFmtId="0" fontId="52" fillId="0" borderId="123" xfId="5" applyNumberFormat="1" applyFont="1" applyFill="1" applyBorder="1" applyAlignment="1">
      <alignment vertical="center" shrinkToFit="1"/>
    </xf>
    <xf numFmtId="0" fontId="55" fillId="0" borderId="0" xfId="5" applyNumberFormat="1" applyFont="1" applyFill="1" applyBorder="1" applyAlignment="1">
      <alignment vertical="center" shrinkToFit="1"/>
    </xf>
    <xf numFmtId="0" fontId="37" fillId="0" borderId="0" xfId="4" applyNumberFormat="1" applyFont="1" applyFill="1" applyBorder="1" applyAlignment="1">
      <alignment vertical="center" shrinkToFit="1"/>
    </xf>
    <xf numFmtId="38" fontId="37" fillId="0" borderId="121" xfId="4" applyNumberFormat="1" applyFont="1" applyFill="1" applyBorder="1" applyAlignment="1">
      <alignment horizontal="center" vertical="center" shrinkToFit="1"/>
    </xf>
    <xf numFmtId="176" fontId="37" fillId="0" borderId="149" xfId="5" applyNumberFormat="1" applyFont="1" applyFill="1" applyBorder="1" applyAlignment="1">
      <alignment horizontal="center" vertical="center"/>
    </xf>
    <xf numFmtId="176" fontId="37" fillId="0" borderId="0" xfId="5" applyNumberFormat="1" applyFont="1" applyFill="1" applyBorder="1" applyAlignment="1">
      <alignment horizontal="center" vertical="center"/>
    </xf>
    <xf numFmtId="0" fontId="55" fillId="0" borderId="149" xfId="6" applyNumberFormat="1" applyFont="1" applyFill="1" applyBorder="1" applyAlignment="1">
      <alignment horizontal="center" vertical="center"/>
    </xf>
    <xf numFmtId="38" fontId="37" fillId="0" borderId="149" xfId="4" applyNumberFormat="1" applyFont="1" applyFill="1" applyBorder="1" applyAlignment="1">
      <alignment horizontal="center" vertical="center"/>
    </xf>
    <xf numFmtId="176" fontId="52" fillId="0" borderId="0" xfId="5" applyNumberFormat="1" applyFont="1" applyFill="1" applyBorder="1" applyAlignment="1">
      <alignment horizontal="center" vertical="center"/>
    </xf>
    <xf numFmtId="0" fontId="52" fillId="0" borderId="0" xfId="5" quotePrefix="1" applyNumberFormat="1" applyFont="1" applyFill="1" applyBorder="1" applyAlignment="1">
      <alignment horizontal="center" vertical="center"/>
    </xf>
    <xf numFmtId="0" fontId="37" fillId="0" borderId="121" xfId="4" applyNumberFormat="1" applyFont="1" applyFill="1" applyBorder="1" applyAlignment="1">
      <alignment horizontal="center" vertical="center" shrinkToFit="1"/>
    </xf>
    <xf numFmtId="0" fontId="38" fillId="0" borderId="149" xfId="5" applyNumberFormat="1" applyFont="1" applyFill="1" applyBorder="1" applyAlignment="1">
      <alignment vertical="center" shrinkToFit="1"/>
    </xf>
    <xf numFmtId="176" fontId="37" fillId="0" borderId="0" xfId="5" quotePrefix="1" applyNumberFormat="1" applyFont="1" applyFill="1" applyBorder="1" applyAlignment="1">
      <alignment horizontal="center" vertical="center"/>
    </xf>
    <xf numFmtId="0" fontId="37" fillId="0" borderId="121" xfId="3" applyNumberFormat="1" applyFont="1" applyFill="1" applyBorder="1" applyAlignment="1">
      <alignment vertical="center"/>
    </xf>
    <xf numFmtId="176" fontId="37" fillId="0" borderId="121" xfId="5" quotePrefix="1" applyNumberFormat="1" applyFont="1" applyFill="1" applyBorder="1" applyAlignment="1">
      <alignment horizontal="center" vertical="center"/>
    </xf>
    <xf numFmtId="0" fontId="38" fillId="0" borderId="0" xfId="3" applyNumberFormat="1" applyFont="1" applyFill="1" applyBorder="1" applyAlignment="1">
      <alignment vertical="center"/>
    </xf>
    <xf numFmtId="176" fontId="38" fillId="0" borderId="0" xfId="5" quotePrefix="1" applyNumberFormat="1" applyFont="1" applyFill="1" applyBorder="1" applyAlignment="1">
      <alignment horizontal="center" vertical="center"/>
    </xf>
    <xf numFmtId="0" fontId="37" fillId="0" borderId="0" xfId="14" applyNumberFormat="1" applyFont="1" applyFill="1" applyBorder="1" applyAlignment="1">
      <alignment horizontal="left" vertical="center"/>
    </xf>
    <xf numFmtId="0" fontId="52" fillId="0" borderId="0" xfId="5" applyFont="1" applyFill="1" applyBorder="1" applyAlignment="1">
      <alignment horizontal="center" vertical="center" shrinkToFit="1"/>
    </xf>
    <xf numFmtId="0" fontId="37" fillId="0" borderId="0" xfId="3" quotePrefix="1" applyNumberFormat="1" applyFont="1" applyFill="1" applyBorder="1" applyAlignment="1">
      <alignment horizontal="left" vertical="center" shrinkToFit="1"/>
    </xf>
    <xf numFmtId="0" fontId="52" fillId="0" borderId="0" xfId="5" applyFont="1" applyFill="1" applyBorder="1" applyAlignment="1">
      <alignment horizontal="center" vertical="center"/>
    </xf>
    <xf numFmtId="0" fontId="55" fillId="0" borderId="0" xfId="5" applyFont="1" applyFill="1" applyBorder="1" applyAlignment="1">
      <alignment horizontal="center" vertical="center" shrinkToFit="1"/>
    </xf>
    <xf numFmtId="0" fontId="52" fillId="0" borderId="0" xfId="5" applyNumberFormat="1" applyFont="1" applyFill="1" applyBorder="1" applyAlignment="1">
      <alignment horizontal="center" vertical="center"/>
    </xf>
    <xf numFmtId="0" fontId="37" fillId="0" borderId="0" xfId="5" applyFont="1" applyFill="1" applyBorder="1" applyAlignment="1">
      <alignment horizontal="center" vertical="center" shrinkToFit="1"/>
    </xf>
    <xf numFmtId="0" fontId="37" fillId="0" borderId="0" xfId="5" applyFont="1" applyFill="1" applyBorder="1" applyAlignment="1">
      <alignment horizontal="center" vertical="center"/>
    </xf>
    <xf numFmtId="0" fontId="81" fillId="0" borderId="0" xfId="5" applyFont="1" applyFill="1" applyBorder="1" applyAlignment="1">
      <alignment vertical="center"/>
    </xf>
    <xf numFmtId="0" fontId="38" fillId="0" borderId="0" xfId="5" applyFont="1" applyFill="1" applyBorder="1" applyAlignment="1">
      <alignment horizontal="center" vertical="center"/>
    </xf>
    <xf numFmtId="0" fontId="37" fillId="0" borderId="123" xfId="5" applyNumberFormat="1" applyFont="1" applyFill="1" applyBorder="1" applyAlignment="1">
      <alignment horizontal="left" vertical="center" shrinkToFit="1"/>
    </xf>
    <xf numFmtId="0" fontId="37" fillId="0" borderId="123" xfId="5" applyFont="1" applyFill="1" applyBorder="1" applyAlignment="1">
      <alignment horizontal="center" vertical="center"/>
    </xf>
    <xf numFmtId="0" fontId="38" fillId="0" borderId="0" xfId="5" applyFont="1" applyFill="1" applyBorder="1" applyAlignment="1">
      <alignment vertical="center" shrinkToFit="1"/>
    </xf>
    <xf numFmtId="0" fontId="1" fillId="0" borderId="0" xfId="5" applyFont="1" applyFill="1" applyBorder="1" applyAlignment="1">
      <alignment vertical="center"/>
    </xf>
    <xf numFmtId="0" fontId="55" fillId="0" borderId="0" xfId="5" applyFont="1" applyFill="1" applyBorder="1" applyAlignment="1">
      <alignment horizontal="center" vertical="center"/>
    </xf>
    <xf numFmtId="0" fontId="38" fillId="0" borderId="0" xfId="5" applyNumberFormat="1" applyFont="1" applyFill="1" applyBorder="1" applyAlignment="1">
      <alignment vertical="center" shrinkToFit="1"/>
    </xf>
    <xf numFmtId="0" fontId="52" fillId="0" borderId="143" xfId="7" applyNumberFormat="1" applyFont="1" applyFill="1" applyBorder="1" applyAlignment="1">
      <alignment horizontal="left" vertical="center"/>
    </xf>
    <xf numFmtId="0" fontId="59" fillId="0" borderId="121" xfId="14" applyNumberFormat="1" applyFont="1" applyFill="1" applyBorder="1" applyAlignment="1">
      <alignment horizontal="center" vertical="center"/>
    </xf>
    <xf numFmtId="0" fontId="37" fillId="0" borderId="0" xfId="3" quotePrefix="1" applyNumberFormat="1" applyFont="1" applyFill="1" applyBorder="1" applyAlignment="1">
      <alignment horizontal="center" vertical="center"/>
    </xf>
    <xf numFmtId="0" fontId="54" fillId="0" borderId="0" xfId="4" applyNumberFormat="1" applyFont="1" applyFill="1" applyBorder="1" applyAlignment="1">
      <alignment vertical="center"/>
    </xf>
    <xf numFmtId="0" fontId="44" fillId="0" borderId="0" xfId="5" applyBorder="1">
      <alignment vertical="center"/>
    </xf>
    <xf numFmtId="0" fontId="59" fillId="0" borderId="22" xfId="4" applyNumberFormat="1" applyFont="1" applyFill="1" applyBorder="1" applyAlignment="1">
      <alignment vertical="center"/>
    </xf>
    <xf numFmtId="0" fontId="59" fillId="0" borderId="23" xfId="4" applyNumberFormat="1" applyFont="1" applyFill="1" applyBorder="1" applyAlignment="1">
      <alignment vertical="center"/>
    </xf>
    <xf numFmtId="0" fontId="59" fillId="0" borderId="23" xfId="4" applyNumberFormat="1" applyFont="1" applyFill="1" applyBorder="1" applyAlignment="1">
      <alignment vertical="top"/>
    </xf>
    <xf numFmtId="0" fontId="59" fillId="0" borderId="13" xfId="4" applyNumberFormat="1" applyFont="1" applyFill="1" applyBorder="1" applyAlignment="1">
      <alignment vertical="center" shrinkToFit="1"/>
    </xf>
    <xf numFmtId="0" fontId="0" fillId="0" borderId="122" xfId="0" applyBorder="1">
      <alignment vertical="center"/>
    </xf>
    <xf numFmtId="0" fontId="52" fillId="0" borderId="182" xfId="5" quotePrefix="1" applyNumberFormat="1" applyFont="1" applyFill="1" applyBorder="1" applyAlignment="1">
      <alignment horizontal="center" vertical="center"/>
    </xf>
    <xf numFmtId="0" fontId="75" fillId="0" borderId="149" xfId="3" applyNumberFormat="1" applyFont="1" applyFill="1" applyBorder="1" applyAlignment="1">
      <alignment horizontal="left" vertical="center"/>
    </xf>
    <xf numFmtId="0" fontId="54" fillId="0" borderId="0" xfId="3" applyNumberFormat="1" applyFont="1" applyFill="1" applyBorder="1" applyAlignment="1">
      <alignment vertical="center"/>
    </xf>
    <xf numFmtId="0" fontId="37" fillId="0" borderId="0" xfId="13" applyNumberFormat="1" applyFont="1" applyFill="1" applyBorder="1" applyAlignment="1">
      <alignment horizontal="left" vertical="center"/>
    </xf>
    <xf numFmtId="0" fontId="38" fillId="0" borderId="0" xfId="13" applyNumberFormat="1" applyFont="1" applyFill="1" applyBorder="1" applyAlignment="1">
      <alignment vertical="center"/>
    </xf>
    <xf numFmtId="0" fontId="37" fillId="0" borderId="0" xfId="13" applyNumberFormat="1" applyFont="1" applyFill="1" applyBorder="1" applyAlignment="1">
      <alignment horizontal="left" vertical="center" wrapText="1"/>
    </xf>
    <xf numFmtId="0" fontId="38" fillId="0" borderId="149" xfId="14" applyNumberFormat="1" applyFont="1" applyFill="1" applyBorder="1" applyAlignment="1">
      <alignment horizontal="left" vertical="center"/>
    </xf>
    <xf numFmtId="0" fontId="38" fillId="0" borderId="0" xfId="14" applyNumberFormat="1" applyFont="1" applyFill="1" applyBorder="1" applyAlignment="1">
      <alignment horizontal="left" vertical="center"/>
    </xf>
    <xf numFmtId="0" fontId="38" fillId="0" borderId="149" xfId="14" applyNumberFormat="1" applyFont="1" applyFill="1" applyBorder="1" applyAlignment="1">
      <alignment vertical="center"/>
    </xf>
    <xf numFmtId="0" fontId="38" fillId="0" borderId="149" xfId="3" applyNumberFormat="1" applyFont="1" applyFill="1" applyBorder="1" applyAlignment="1">
      <alignment vertical="center"/>
    </xf>
    <xf numFmtId="0" fontId="37" fillId="0" borderId="0" xfId="13" applyNumberFormat="1" applyFont="1" applyFill="1" applyBorder="1" applyAlignment="1">
      <alignment vertical="center"/>
    </xf>
    <xf numFmtId="0" fontId="38" fillId="0" borderId="149" xfId="4" applyNumberFormat="1" applyFont="1" applyFill="1" applyBorder="1" applyAlignment="1">
      <alignment vertical="center" shrinkToFit="1"/>
    </xf>
    <xf numFmtId="0" fontId="59" fillId="0" borderId="121" xfId="14" applyNumberFormat="1" applyFont="1" applyFill="1" applyBorder="1" applyAlignment="1">
      <alignment horizontal="left" vertical="center"/>
    </xf>
    <xf numFmtId="0" fontId="55" fillId="0" borderId="182" xfId="15" applyNumberFormat="1" applyFont="1" applyFill="1" applyBorder="1" applyAlignment="1">
      <alignment horizontal="left" vertical="center"/>
    </xf>
    <xf numFmtId="41" fontId="52" fillId="0" borderId="41" xfId="0" applyNumberFormat="1" applyFont="1" applyBorder="1">
      <alignment vertical="center"/>
    </xf>
    <xf numFmtId="41" fontId="52" fillId="0" borderId="81" xfId="0" applyNumberFormat="1" applyFont="1" applyBorder="1">
      <alignment vertical="center"/>
    </xf>
    <xf numFmtId="177" fontId="52" fillId="0" borderId="13" xfId="0" applyNumberFormat="1" applyFont="1" applyBorder="1">
      <alignment vertical="center"/>
    </xf>
    <xf numFmtId="176" fontId="52" fillId="0" borderId="123" xfId="5" applyNumberFormat="1" applyFont="1" applyFill="1" applyBorder="1" applyAlignment="1">
      <alignment vertical="center" shrinkToFit="1"/>
    </xf>
    <xf numFmtId="176" fontId="52" fillId="0" borderId="123" xfId="5" applyNumberFormat="1" applyFont="1" applyFill="1" applyBorder="1" applyAlignment="1">
      <alignment horizontal="center" vertical="center" shrinkToFit="1"/>
    </xf>
    <xf numFmtId="0" fontId="37" fillId="0" borderId="123" xfId="5" applyNumberFormat="1" applyFont="1" applyFill="1" applyBorder="1" applyAlignment="1">
      <alignment vertical="center" shrinkToFit="1"/>
    </xf>
    <xf numFmtId="0" fontId="52" fillId="0" borderId="123" xfId="5" quotePrefix="1" applyNumberFormat="1" applyFont="1" applyFill="1" applyBorder="1" applyAlignment="1">
      <alignment horizontal="center" vertical="center"/>
    </xf>
    <xf numFmtId="0" fontId="55" fillId="0" borderId="123" xfId="5" applyFont="1" applyFill="1" applyBorder="1" applyAlignment="1">
      <alignment horizontal="center" vertical="center"/>
    </xf>
    <xf numFmtId="0" fontId="37" fillId="0" borderId="123" xfId="3" applyNumberFormat="1" applyFont="1" applyFill="1" applyBorder="1" applyAlignment="1">
      <alignment horizontal="left" vertical="center" shrinkToFit="1"/>
    </xf>
    <xf numFmtId="41" fontId="37" fillId="0" borderId="0" xfId="13" applyNumberFormat="1" applyFont="1" applyFill="1" applyBorder="1" applyAlignment="1">
      <alignment horizontal="center" vertical="center"/>
    </xf>
    <xf numFmtId="41" fontId="82" fillId="4" borderId="84" xfId="7" applyNumberFormat="1" applyFont="1" applyFill="1" applyBorder="1" applyAlignment="1">
      <alignment horizontal="center" vertical="center"/>
    </xf>
    <xf numFmtId="10" fontId="82" fillId="4" borderId="69" xfId="7" applyNumberFormat="1" applyFont="1" applyFill="1" applyBorder="1" applyAlignment="1">
      <alignment horizontal="center" vertical="center"/>
    </xf>
    <xf numFmtId="41" fontId="55" fillId="0" borderId="0" xfId="7" applyNumberFormat="1" applyFont="1" applyFill="1" applyBorder="1" applyAlignment="1">
      <alignment horizontal="center" vertical="center"/>
    </xf>
    <xf numFmtId="10" fontId="55" fillId="0" borderId="0" xfId="7" applyNumberFormat="1" applyFont="1" applyFill="1" applyBorder="1" applyAlignment="1">
      <alignment horizontal="center" vertical="center"/>
    </xf>
    <xf numFmtId="41" fontId="75" fillId="0" borderId="85" xfId="14" applyNumberFormat="1" applyFont="1" applyFill="1" applyBorder="1" applyAlignment="1">
      <alignment horizontal="center" vertical="center"/>
    </xf>
    <xf numFmtId="41" fontId="75" fillId="0" borderId="58" xfId="14" applyNumberFormat="1" applyFont="1" applyFill="1" applyBorder="1" applyAlignment="1">
      <alignment horizontal="center" vertical="center"/>
    </xf>
    <xf numFmtId="41" fontId="59" fillId="0" borderId="0" xfId="14" applyNumberFormat="1" applyFont="1" applyFill="1" applyBorder="1" applyAlignment="1">
      <alignment horizontal="center" vertical="center"/>
    </xf>
    <xf numFmtId="10" fontId="75" fillId="0" borderId="86" xfId="3" applyNumberFormat="1" applyFont="1" applyFill="1" applyBorder="1" applyAlignment="1">
      <alignment horizontal="center" vertical="center" shrinkToFit="1"/>
    </xf>
    <xf numFmtId="10" fontId="75" fillId="0" borderId="78" xfId="3" applyNumberFormat="1" applyFont="1" applyFill="1" applyBorder="1" applyAlignment="1">
      <alignment horizontal="center" vertical="center" shrinkToFit="1"/>
    </xf>
    <xf numFmtId="10" fontId="75" fillId="0" borderId="0" xfId="3" applyNumberFormat="1" applyFont="1" applyFill="1" applyBorder="1" applyAlignment="1">
      <alignment horizontal="center" vertical="center" shrinkToFit="1"/>
    </xf>
    <xf numFmtId="41" fontId="75" fillId="0" borderId="0" xfId="3" applyNumberFormat="1" applyFont="1" applyFill="1" applyBorder="1" applyAlignment="1">
      <alignment horizontal="center" vertical="center" shrinkToFit="1"/>
    </xf>
    <xf numFmtId="41" fontId="82" fillId="0" borderId="127" xfId="13" applyNumberFormat="1" applyFont="1" applyFill="1" applyBorder="1" applyAlignment="1">
      <alignment horizontal="right" vertical="center"/>
    </xf>
    <xf numFmtId="41" fontId="82" fillId="0" borderId="83" xfId="13" applyNumberFormat="1" applyFont="1" applyFill="1" applyBorder="1" applyAlignment="1">
      <alignment horizontal="right" vertical="center"/>
    </xf>
    <xf numFmtId="41" fontId="37" fillId="0" borderId="83" xfId="13" applyNumberFormat="1" applyFont="1" applyFill="1" applyBorder="1" applyAlignment="1">
      <alignment horizontal="right" vertical="center"/>
    </xf>
    <xf numFmtId="41" fontId="37" fillId="0" borderId="83" xfId="3" applyNumberFormat="1" applyFont="1" applyFill="1" applyBorder="1" applyAlignment="1">
      <alignment horizontal="right" vertical="center" shrinkToFit="1"/>
    </xf>
    <xf numFmtId="41" fontId="37" fillId="0" borderId="73" xfId="3" applyNumberFormat="1" applyFont="1" applyFill="1" applyBorder="1" applyAlignment="1">
      <alignment horizontal="right" vertical="center" shrinkToFit="1"/>
    </xf>
    <xf numFmtId="41" fontId="82" fillId="0" borderId="124" xfId="13" applyNumberFormat="1" applyFont="1" applyFill="1" applyBorder="1" applyAlignment="1">
      <alignment horizontal="right" vertical="center"/>
    </xf>
    <xf numFmtId="41" fontId="37" fillId="0" borderId="0" xfId="13" applyNumberFormat="1" applyFont="1" applyFill="1" applyBorder="1" applyAlignment="1">
      <alignment horizontal="right" vertical="center"/>
    </xf>
    <xf numFmtId="41" fontId="37" fillId="0" borderId="0" xfId="13" applyNumberFormat="1" applyFont="1" applyFill="1" applyBorder="1" applyAlignment="1">
      <alignment horizontal="right" vertical="center" shrinkToFit="1"/>
    </xf>
    <xf numFmtId="185" fontId="37" fillId="0" borderId="0" xfId="13" applyNumberFormat="1" applyFont="1" applyFill="1" applyBorder="1" applyAlignment="1">
      <alignment horizontal="right" vertical="center" shrinkToFit="1"/>
    </xf>
    <xf numFmtId="41" fontId="37" fillId="0" borderId="39" xfId="13" applyNumberFormat="1" applyFont="1" applyFill="1" applyBorder="1" applyAlignment="1">
      <alignment horizontal="right" vertical="center" shrinkToFit="1"/>
    </xf>
    <xf numFmtId="41" fontId="37" fillId="0" borderId="124" xfId="13" applyNumberFormat="1" applyFont="1" applyFill="1" applyBorder="1" applyAlignment="1">
      <alignment horizontal="right" vertical="center"/>
    </xf>
    <xf numFmtId="9" fontId="37" fillId="0" borderId="0" xfId="13" applyNumberFormat="1" applyFont="1" applyFill="1" applyBorder="1" applyAlignment="1">
      <alignment horizontal="right" vertical="center"/>
    </xf>
    <xf numFmtId="41" fontId="83" fillId="0" borderId="124" xfId="13" applyNumberFormat="1" applyFont="1" applyFill="1" applyBorder="1" applyAlignment="1">
      <alignment horizontal="right" vertical="center"/>
    </xf>
    <xf numFmtId="41" fontId="82" fillId="0" borderId="124" xfId="13" applyFont="1" applyFill="1" applyBorder="1" applyAlignment="1">
      <alignment horizontal="right" vertical="center"/>
    </xf>
    <xf numFmtId="41" fontId="82" fillId="0" borderId="0" xfId="13" applyFont="1" applyFill="1" applyBorder="1" applyAlignment="1">
      <alignment horizontal="right" vertical="center"/>
    </xf>
    <xf numFmtId="41" fontId="37" fillId="0" borderId="0" xfId="5" applyNumberFormat="1" applyFont="1" applyFill="1" applyBorder="1" applyAlignment="1">
      <alignment horizontal="right" vertical="center"/>
    </xf>
    <xf numFmtId="41" fontId="37" fillId="0" borderId="39" xfId="5" applyNumberFormat="1" applyFont="1" applyFill="1" applyBorder="1" applyAlignment="1">
      <alignment horizontal="right" vertical="center"/>
    </xf>
    <xf numFmtId="41" fontId="38" fillId="0" borderId="0" xfId="13" applyNumberFormat="1" applyFont="1" applyFill="1" applyBorder="1" applyAlignment="1">
      <alignment horizontal="right" vertical="center" shrinkToFit="1"/>
    </xf>
    <xf numFmtId="41" fontId="38" fillId="0" borderId="39" xfId="13" applyNumberFormat="1" applyFont="1" applyFill="1" applyBorder="1" applyAlignment="1">
      <alignment horizontal="right" vertical="center" shrinkToFit="1"/>
    </xf>
    <xf numFmtId="9" fontId="37" fillId="0" borderId="0" xfId="13" applyNumberFormat="1" applyFont="1" applyFill="1" applyBorder="1" applyAlignment="1">
      <alignment horizontal="right" vertical="center" shrinkToFit="1"/>
    </xf>
    <xf numFmtId="41" fontId="37" fillId="0" borderId="0" xfId="14" applyNumberFormat="1" applyFont="1" applyFill="1" applyBorder="1" applyAlignment="1">
      <alignment horizontal="right" vertical="center" shrinkToFit="1"/>
    </xf>
    <xf numFmtId="41" fontId="37" fillId="0" borderId="39" xfId="14" applyNumberFormat="1" applyFont="1" applyFill="1" applyBorder="1" applyAlignment="1">
      <alignment horizontal="right" vertical="center" shrinkToFit="1"/>
    </xf>
    <xf numFmtId="41" fontId="37" fillId="0" borderId="0" xfId="3" applyNumberFormat="1" applyFont="1" applyFill="1" applyBorder="1" applyAlignment="1">
      <alignment horizontal="right" vertical="center" shrinkToFit="1"/>
    </xf>
    <xf numFmtId="41" fontId="37" fillId="0" borderId="39" xfId="3" applyNumberFormat="1" applyFont="1" applyFill="1" applyBorder="1" applyAlignment="1">
      <alignment horizontal="right" vertical="center" shrinkToFit="1"/>
    </xf>
    <xf numFmtId="185" fontId="37" fillId="0" borderId="39" xfId="3" applyNumberFormat="1" applyFont="1" applyFill="1" applyBorder="1" applyAlignment="1">
      <alignment horizontal="right" vertical="center" shrinkToFit="1"/>
    </xf>
    <xf numFmtId="41" fontId="37" fillId="0" borderId="124" xfId="13" applyNumberFormat="1" applyFont="1" applyFill="1" applyBorder="1" applyAlignment="1">
      <alignment vertical="center"/>
    </xf>
    <xf numFmtId="41" fontId="37" fillId="0" borderId="0" xfId="13" applyNumberFormat="1" applyFont="1" applyFill="1" applyBorder="1" applyAlignment="1">
      <alignment vertical="center"/>
    </xf>
    <xf numFmtId="41" fontId="37" fillId="0" borderId="0" xfId="3" applyFont="1" applyFill="1" applyBorder="1" applyAlignment="1">
      <alignment horizontal="right" vertical="center" shrinkToFit="1"/>
    </xf>
    <xf numFmtId="41" fontId="37" fillId="0" borderId="39" xfId="3" applyFont="1" applyFill="1" applyBorder="1" applyAlignment="1">
      <alignment horizontal="right" vertical="center" shrinkToFit="1"/>
    </xf>
    <xf numFmtId="41" fontId="38" fillId="0" borderId="0" xfId="14" applyNumberFormat="1" applyFont="1" applyFill="1" applyBorder="1" applyAlignment="1">
      <alignment horizontal="right" vertical="center" shrinkToFit="1"/>
    </xf>
    <xf numFmtId="41" fontId="38" fillId="0" borderId="39" xfId="14" applyNumberFormat="1" applyFont="1" applyFill="1" applyBorder="1" applyAlignment="1">
      <alignment horizontal="right" vertical="center" shrinkToFit="1"/>
    </xf>
    <xf numFmtId="10" fontId="37" fillId="0" borderId="0" xfId="13" applyNumberFormat="1" applyFont="1" applyFill="1" applyBorder="1" applyAlignment="1">
      <alignment vertical="center"/>
    </xf>
    <xf numFmtId="184" fontId="37" fillId="0" borderId="0" xfId="3" applyNumberFormat="1" applyFont="1" applyFill="1" applyBorder="1" applyAlignment="1">
      <alignment horizontal="right" vertical="center" shrinkToFit="1"/>
    </xf>
    <xf numFmtId="41" fontId="38" fillId="0" borderId="0" xfId="3" applyNumberFormat="1" applyFont="1" applyFill="1" applyBorder="1" applyAlignment="1">
      <alignment horizontal="right" vertical="center" shrinkToFit="1"/>
    </xf>
    <xf numFmtId="41" fontId="38" fillId="0" borderId="39" xfId="3" applyNumberFormat="1" applyFont="1" applyFill="1" applyBorder="1" applyAlignment="1">
      <alignment horizontal="right" vertical="center" shrinkToFit="1"/>
    </xf>
    <xf numFmtId="41" fontId="37" fillId="0" borderId="0" xfId="3" applyNumberFormat="1" applyFont="1" applyFill="1" applyBorder="1" applyAlignment="1">
      <alignment vertical="center" shrinkToFit="1"/>
    </xf>
    <xf numFmtId="41" fontId="38" fillId="0" borderId="0" xfId="14" applyNumberFormat="1" applyFont="1" applyFill="1" applyBorder="1" applyAlignment="1">
      <alignment vertical="center" shrinkToFit="1"/>
    </xf>
    <xf numFmtId="41" fontId="52" fillId="0" borderId="0" xfId="3" applyNumberFormat="1" applyFont="1" applyFill="1" applyBorder="1" applyAlignment="1">
      <alignment horizontal="right" vertical="center" shrinkToFit="1"/>
    </xf>
    <xf numFmtId="41" fontId="52" fillId="0" borderId="39" xfId="3" applyNumberFormat="1" applyFont="1" applyFill="1" applyBorder="1" applyAlignment="1">
      <alignment horizontal="right" vertical="center" shrinkToFit="1"/>
    </xf>
    <xf numFmtId="176" fontId="52" fillId="0" borderId="0" xfId="3" applyNumberFormat="1" applyFont="1" applyFill="1" applyBorder="1" applyAlignment="1">
      <alignment vertical="center" shrinkToFit="1"/>
    </xf>
    <xf numFmtId="176" fontId="52" fillId="0" borderId="0" xfId="3" applyNumberFormat="1" applyFont="1" applyFill="1" applyBorder="1" applyAlignment="1">
      <alignment horizontal="right" vertical="center" shrinkToFit="1"/>
    </xf>
    <xf numFmtId="41" fontId="52" fillId="0" borderId="0" xfId="3" applyNumberFormat="1" applyFont="1" applyFill="1" applyBorder="1" applyAlignment="1">
      <alignment vertical="center" shrinkToFit="1"/>
    </xf>
    <xf numFmtId="41" fontId="52" fillId="0" borderId="0" xfId="3" applyFont="1" applyFill="1" applyBorder="1" applyAlignment="1">
      <alignment horizontal="right" vertical="center" shrinkToFit="1"/>
    </xf>
    <xf numFmtId="176" fontId="52" fillId="0" borderId="39" xfId="3" applyNumberFormat="1" applyFont="1" applyFill="1" applyBorder="1" applyAlignment="1">
      <alignment horizontal="right" vertical="center" shrinkToFit="1"/>
    </xf>
    <xf numFmtId="41" fontId="52" fillId="0" borderId="0" xfId="7" applyNumberFormat="1" applyFont="1" applyFill="1" applyBorder="1" applyAlignment="1">
      <alignment horizontal="right" vertical="center"/>
    </xf>
    <xf numFmtId="41" fontId="55" fillId="0" borderId="0" xfId="7" applyNumberFormat="1" applyFont="1" applyFill="1" applyBorder="1" applyAlignment="1">
      <alignment horizontal="right" vertical="center"/>
    </xf>
    <xf numFmtId="186" fontId="37" fillId="0" borderId="0" xfId="13" applyNumberFormat="1" applyFont="1" applyFill="1" applyBorder="1" applyAlignment="1">
      <alignment horizontal="right" vertical="center"/>
    </xf>
    <xf numFmtId="185" fontId="37" fillId="0" borderId="39" xfId="13" applyNumberFormat="1" applyFont="1" applyFill="1" applyBorder="1" applyAlignment="1">
      <alignment horizontal="right" vertical="center" shrinkToFit="1"/>
    </xf>
    <xf numFmtId="0" fontId="44" fillId="0" borderId="0" xfId="5">
      <alignment vertical="center"/>
    </xf>
    <xf numFmtId="0" fontId="44" fillId="0" borderId="39" xfId="5" applyBorder="1">
      <alignment vertical="center"/>
    </xf>
    <xf numFmtId="176" fontId="44" fillId="0" borderId="0" xfId="5" applyNumberFormat="1">
      <alignment vertical="center"/>
    </xf>
    <xf numFmtId="0" fontId="44" fillId="0" borderId="0" xfId="5" applyFill="1" applyBorder="1">
      <alignment vertical="center"/>
    </xf>
    <xf numFmtId="43" fontId="37" fillId="0" borderId="0" xfId="13" applyNumberFormat="1" applyFont="1" applyFill="1" applyBorder="1" applyAlignment="1">
      <alignment horizontal="right" vertical="center" shrinkToFit="1"/>
    </xf>
    <xf numFmtId="41" fontId="52" fillId="0" borderId="124" xfId="7" applyNumberFormat="1" applyFont="1" applyFill="1" applyBorder="1" applyAlignment="1">
      <alignment horizontal="right" vertical="center"/>
    </xf>
    <xf numFmtId="176" fontId="52" fillId="0" borderId="0" xfId="7" applyNumberFormat="1" applyFont="1" applyFill="1" applyBorder="1" applyAlignment="1">
      <alignment horizontal="right" vertical="center"/>
    </xf>
    <xf numFmtId="41" fontId="59" fillId="0" borderId="0" xfId="14" applyNumberFormat="1" applyFont="1" applyFill="1" applyBorder="1" applyAlignment="1">
      <alignment horizontal="right" vertical="center"/>
    </xf>
    <xf numFmtId="41" fontId="59" fillId="0" borderId="39" xfId="14" applyNumberFormat="1" applyFont="1" applyFill="1" applyBorder="1" applyAlignment="1">
      <alignment horizontal="right" vertical="center"/>
    </xf>
    <xf numFmtId="41" fontId="55" fillId="0" borderId="124" xfId="7" applyNumberFormat="1" applyFont="1" applyFill="1" applyBorder="1" applyAlignment="1">
      <alignment horizontal="right" vertical="center"/>
    </xf>
    <xf numFmtId="176" fontId="55" fillId="0" borderId="0" xfId="7" applyNumberFormat="1" applyFont="1" applyFill="1" applyBorder="1" applyAlignment="1">
      <alignment horizontal="right" vertical="center"/>
    </xf>
    <xf numFmtId="41" fontId="38" fillId="0" borderId="0" xfId="3" applyNumberFormat="1" applyFont="1" applyFill="1" applyBorder="1" applyAlignment="1">
      <alignment horizontal="right" vertical="center"/>
    </xf>
    <xf numFmtId="41" fontId="38" fillId="0" borderId="39" xfId="3" applyNumberFormat="1" applyFont="1" applyFill="1" applyBorder="1" applyAlignment="1">
      <alignment horizontal="right" vertical="center"/>
    </xf>
    <xf numFmtId="41" fontId="59" fillId="0" borderId="124" xfId="14" applyNumberFormat="1" applyFont="1" applyFill="1" applyBorder="1" applyAlignment="1">
      <alignment horizontal="right" vertical="center"/>
    </xf>
    <xf numFmtId="176" fontId="59" fillId="0" borderId="0" xfId="14" applyNumberFormat="1" applyFont="1" applyFill="1" applyBorder="1" applyAlignment="1">
      <alignment horizontal="right" vertical="center"/>
    </xf>
    <xf numFmtId="41" fontId="37" fillId="0" borderId="0" xfId="3" applyNumberFormat="1" applyFont="1" applyFill="1" applyBorder="1" applyAlignment="1">
      <alignment horizontal="right" vertical="center"/>
    </xf>
    <xf numFmtId="41" fontId="37" fillId="0" borderId="39" xfId="3" applyNumberFormat="1" applyFont="1" applyFill="1" applyBorder="1" applyAlignment="1">
      <alignment horizontal="right" vertical="center"/>
    </xf>
    <xf numFmtId="41" fontId="38" fillId="0" borderId="124" xfId="3" applyNumberFormat="1" applyFont="1" applyFill="1" applyBorder="1" applyAlignment="1">
      <alignment horizontal="right" vertical="center"/>
    </xf>
    <xf numFmtId="176" fontId="38" fillId="0" borderId="0" xfId="3" applyNumberFormat="1" applyFont="1" applyFill="1" applyBorder="1" applyAlignment="1">
      <alignment horizontal="right" vertical="center"/>
    </xf>
    <xf numFmtId="41" fontId="59" fillId="0" borderId="0" xfId="3" applyNumberFormat="1" applyFont="1" applyFill="1" applyBorder="1" applyAlignment="1">
      <alignment horizontal="right" vertical="center" shrinkToFit="1"/>
    </xf>
    <xf numFmtId="41" fontId="59" fillId="0" borderId="39" xfId="3" applyNumberFormat="1" applyFont="1" applyFill="1" applyBorder="1" applyAlignment="1">
      <alignment horizontal="right" vertical="center" shrinkToFit="1"/>
    </xf>
    <xf numFmtId="176" fontId="37" fillId="0" borderId="0" xfId="13" applyNumberFormat="1" applyFont="1" applyFill="1" applyBorder="1" applyAlignment="1">
      <alignment vertical="center"/>
    </xf>
    <xf numFmtId="41" fontId="75" fillId="0" borderId="0" xfId="4" applyNumberFormat="1" applyFont="1" applyFill="1" applyBorder="1" applyAlignment="1">
      <alignment horizontal="right" vertical="center"/>
    </xf>
    <xf numFmtId="41" fontId="75" fillId="0" borderId="39" xfId="4" applyNumberFormat="1" applyFont="1" applyFill="1" applyBorder="1" applyAlignment="1">
      <alignment horizontal="right" vertical="center"/>
    </xf>
    <xf numFmtId="41" fontId="59" fillId="0" borderId="0" xfId="4" applyNumberFormat="1" applyFont="1" applyFill="1" applyBorder="1" applyAlignment="1">
      <alignment horizontal="right" vertical="center"/>
    </xf>
    <xf numFmtId="41" fontId="75" fillId="0" borderId="124" xfId="4" applyNumberFormat="1" applyFont="1" applyFill="1" applyBorder="1" applyAlignment="1">
      <alignment horizontal="right" vertical="center"/>
    </xf>
    <xf numFmtId="176" fontId="75" fillId="0" borderId="0" xfId="4" applyNumberFormat="1" applyFont="1" applyFill="1" applyBorder="1" applyAlignment="1">
      <alignment horizontal="right" vertical="center"/>
    </xf>
    <xf numFmtId="0" fontId="23" fillId="0" borderId="0" xfId="5" applyFont="1" applyFill="1" applyBorder="1" applyAlignment="1">
      <alignment vertical="center" shrinkToFit="1"/>
    </xf>
    <xf numFmtId="0" fontId="52" fillId="0" borderId="123" xfId="5" applyFont="1" applyFill="1" applyBorder="1" applyAlignment="1">
      <alignment horizontal="center" vertical="center"/>
    </xf>
    <xf numFmtId="0" fontId="38" fillId="0" borderId="0" xfId="5" applyFont="1" applyFill="1" applyBorder="1" applyAlignment="1">
      <alignment horizontal="center" vertical="center" shrinkToFit="1"/>
    </xf>
    <xf numFmtId="0" fontId="59" fillId="0" borderId="123" xfId="5" applyNumberFormat="1" applyFont="1" applyFill="1" applyBorder="1" applyAlignment="1">
      <alignment vertical="center"/>
    </xf>
    <xf numFmtId="0" fontId="52" fillId="0" borderId="123" xfId="5" applyNumberFormat="1" applyFont="1" applyFill="1" applyBorder="1" applyAlignment="1">
      <alignment horizontal="center" vertical="center"/>
    </xf>
    <xf numFmtId="0" fontId="38" fillId="0" borderId="0" xfId="5" applyFont="1" applyBorder="1" applyAlignment="1">
      <alignment vertical="center" shrinkToFit="1"/>
    </xf>
    <xf numFmtId="0" fontId="37" fillId="0" borderId="0" xfId="5" applyFont="1" applyBorder="1" applyAlignment="1">
      <alignment horizontal="center" vertical="center" shrinkToFit="1"/>
    </xf>
    <xf numFmtId="0" fontId="37" fillId="0" borderId="123" xfId="5" applyNumberFormat="1" applyFont="1" applyFill="1" applyBorder="1" applyAlignment="1">
      <alignment vertical="center"/>
    </xf>
    <xf numFmtId="0" fontId="37" fillId="0" borderId="123" xfId="5" applyNumberFormat="1" applyFont="1" applyFill="1" applyBorder="1" applyAlignment="1">
      <alignment horizontal="center" vertical="center"/>
    </xf>
    <xf numFmtId="0" fontId="37" fillId="0" borderId="123" xfId="14" applyNumberFormat="1" applyFont="1" applyFill="1" applyBorder="1" applyAlignment="1">
      <alignment horizontal="left" vertical="center"/>
    </xf>
    <xf numFmtId="0" fontId="37" fillId="0" borderId="123" xfId="13" quotePrefix="1" applyNumberFormat="1" applyFont="1" applyFill="1" applyBorder="1" applyAlignment="1">
      <alignment horizontal="center" vertical="center"/>
    </xf>
    <xf numFmtId="0" fontId="44" fillId="0" borderId="124" xfId="5" applyBorder="1">
      <alignment vertical="center"/>
    </xf>
    <xf numFmtId="177" fontId="55" fillId="0" borderId="118" xfId="0" applyNumberFormat="1" applyFont="1" applyBorder="1">
      <alignment vertical="center"/>
    </xf>
    <xf numFmtId="0" fontId="75" fillId="0" borderId="0" xfId="3" applyNumberFormat="1" applyFont="1" applyFill="1" applyBorder="1" applyAlignment="1">
      <alignment horizontal="left" vertical="center"/>
    </xf>
    <xf numFmtId="0" fontId="37" fillId="0" borderId="120" xfId="13" applyNumberFormat="1" applyFont="1" applyFill="1" applyBorder="1" applyAlignment="1">
      <alignment horizontal="left" vertical="center"/>
    </xf>
    <xf numFmtId="0" fontId="37" fillId="0" borderId="121" xfId="13" quotePrefix="1" applyNumberFormat="1" applyFont="1" applyFill="1" applyBorder="1" applyAlignment="1">
      <alignment horizontal="center" vertical="center"/>
    </xf>
    <xf numFmtId="0" fontId="37" fillId="0" borderId="120" xfId="5" applyNumberFormat="1" applyFont="1" applyFill="1" applyBorder="1" applyAlignment="1">
      <alignment vertical="center"/>
    </xf>
    <xf numFmtId="0" fontId="54" fillId="0" borderId="120" xfId="3" applyNumberFormat="1" applyFont="1" applyFill="1" applyBorder="1" applyAlignment="1">
      <alignment vertical="center"/>
    </xf>
    <xf numFmtId="0" fontId="59" fillId="0" borderId="121" xfId="3" applyNumberFormat="1" applyFont="1" applyFill="1" applyBorder="1" applyAlignment="1">
      <alignment horizontal="center" vertical="center"/>
    </xf>
    <xf numFmtId="0" fontId="37" fillId="0" borderId="149" xfId="13" quotePrefix="1" applyNumberFormat="1" applyFont="1" applyFill="1" applyBorder="1" applyAlignment="1">
      <alignment horizontal="center" vertical="center"/>
    </xf>
    <xf numFmtId="0" fontId="49" fillId="0" borderId="0" xfId="16" applyNumberFormat="1" applyFont="1" applyFill="1" applyBorder="1" applyAlignment="1">
      <alignment vertical="center"/>
    </xf>
    <xf numFmtId="0" fontId="49" fillId="0" borderId="0" xfId="16" applyNumberFormat="1" applyFont="1" applyFill="1" applyAlignment="1">
      <alignment vertical="center"/>
    </xf>
    <xf numFmtId="0" fontId="48" fillId="0" borderId="0" xfId="16" applyNumberFormat="1" applyFill="1" applyAlignment="1"/>
    <xf numFmtId="0" fontId="48" fillId="0" borderId="0" xfId="16" applyNumberFormat="1" applyFont="1" applyFill="1" applyAlignment="1"/>
    <xf numFmtId="41" fontId="50" fillId="0" borderId="113" xfId="7" applyNumberFormat="1" applyFont="1" applyFill="1" applyBorder="1" applyAlignment="1">
      <alignment horizontal="right" vertical="center"/>
    </xf>
    <xf numFmtId="0" fontId="42" fillId="12" borderId="13" xfId="6" applyNumberFormat="1" applyFont="1" applyFill="1" applyBorder="1" applyAlignment="1">
      <alignment horizontal="center" vertical="center"/>
    </xf>
    <xf numFmtId="177" fontId="54" fillId="12" borderId="19" xfId="17" applyNumberFormat="1" applyFont="1" applyFill="1" applyBorder="1" applyAlignment="1">
      <alignment horizontal="right" vertical="center"/>
    </xf>
    <xf numFmtId="0" fontId="42" fillId="12" borderId="15" xfId="16" applyNumberFormat="1" applyFont="1" applyFill="1" applyBorder="1" applyAlignment="1">
      <alignment horizontal="center" vertical="center"/>
    </xf>
    <xf numFmtId="41" fontId="42" fillId="12" borderId="49" xfId="16" applyNumberFormat="1" applyFont="1" applyFill="1" applyBorder="1" applyAlignment="1">
      <alignment horizontal="center" vertical="center"/>
    </xf>
    <xf numFmtId="180" fontId="54" fillId="13" borderId="120" xfId="5" applyNumberFormat="1" applyFont="1" applyFill="1" applyBorder="1" applyAlignment="1">
      <alignment vertical="center"/>
    </xf>
    <xf numFmtId="0" fontId="54" fillId="0" borderId="183" xfId="6" applyNumberFormat="1" applyFont="1" applyFill="1" applyBorder="1" applyAlignment="1">
      <alignment vertical="center"/>
    </xf>
    <xf numFmtId="0" fontId="42" fillId="0" borderId="26" xfId="16" applyNumberFormat="1" applyFont="1" applyFill="1" applyBorder="1" applyAlignment="1">
      <alignment vertical="center"/>
    </xf>
    <xf numFmtId="0" fontId="42" fillId="0" borderId="37" xfId="16" applyNumberFormat="1" applyFont="1" applyFill="1" applyBorder="1" applyAlignment="1">
      <alignment vertical="center"/>
    </xf>
    <xf numFmtId="0" fontId="54" fillId="0" borderId="147" xfId="16" applyNumberFormat="1" applyFont="1" applyFill="1" applyBorder="1" applyAlignment="1">
      <alignment horizontal="left" vertical="center"/>
    </xf>
    <xf numFmtId="0" fontId="54" fillId="0" borderId="37" xfId="16" applyNumberFormat="1" applyFont="1" applyFill="1" applyBorder="1" applyAlignment="1">
      <alignment horizontal="left" vertical="center"/>
    </xf>
    <xf numFmtId="0" fontId="54" fillId="0" borderId="149" xfId="16" applyNumberFormat="1" applyFont="1" applyFill="1" applyBorder="1" applyAlignment="1">
      <alignment horizontal="left" vertical="center"/>
    </xf>
    <xf numFmtId="0" fontId="42" fillId="0" borderId="120" xfId="16" applyNumberFormat="1" applyFont="1" applyFill="1" applyBorder="1" applyAlignment="1">
      <alignment vertical="center"/>
    </xf>
    <xf numFmtId="0" fontId="54" fillId="0" borderId="30" xfId="16" applyNumberFormat="1" applyFont="1" applyFill="1" applyBorder="1" applyAlignment="1">
      <alignment horizontal="left" vertical="center"/>
    </xf>
    <xf numFmtId="0" fontId="42" fillId="0" borderId="37" xfId="16" applyNumberFormat="1" applyFont="1" applyFill="1" applyBorder="1" applyAlignment="1">
      <alignment vertical="top"/>
    </xf>
    <xf numFmtId="0" fontId="42" fillId="0" borderId="36" xfId="16" applyNumberFormat="1" applyFont="1" applyFill="1" applyBorder="1" applyAlignment="1">
      <alignment vertical="top"/>
    </xf>
    <xf numFmtId="0" fontId="42" fillId="0" borderId="119" xfId="16" applyNumberFormat="1" applyFont="1" applyFill="1" applyBorder="1" applyAlignment="1">
      <alignment vertical="center"/>
    </xf>
    <xf numFmtId="0" fontId="42" fillId="0" borderId="36" xfId="16" applyNumberFormat="1" applyFont="1" applyFill="1" applyBorder="1" applyAlignment="1">
      <alignment vertical="center"/>
    </xf>
    <xf numFmtId="0" fontId="42" fillId="0" borderId="149" xfId="16" applyNumberFormat="1" applyFont="1" applyFill="1" applyBorder="1" applyAlignment="1">
      <alignment vertical="center"/>
    </xf>
    <xf numFmtId="0" fontId="42" fillId="0" borderId="30" xfId="16" applyNumberFormat="1" applyFont="1" applyFill="1" applyBorder="1" applyAlignment="1">
      <alignment vertical="center"/>
    </xf>
    <xf numFmtId="0" fontId="42" fillId="0" borderId="16" xfId="16" applyNumberFormat="1" applyFont="1" applyFill="1" applyBorder="1" applyAlignment="1">
      <alignment vertical="top"/>
    </xf>
    <xf numFmtId="0" fontId="42" fillId="0" borderId="118" xfId="16" applyNumberFormat="1" applyFont="1" applyFill="1" applyBorder="1" applyAlignment="1">
      <alignment vertical="center"/>
    </xf>
    <xf numFmtId="0" fontId="58" fillId="0" borderId="26" xfId="16" applyNumberFormat="1" applyFont="1" applyFill="1" applyBorder="1" applyAlignment="1">
      <alignment vertical="center"/>
    </xf>
    <xf numFmtId="0" fontId="58" fillId="0" borderId="37" xfId="16" applyNumberFormat="1" applyFont="1" applyFill="1" applyBorder="1" applyAlignment="1">
      <alignment vertical="center"/>
    </xf>
    <xf numFmtId="0" fontId="58" fillId="0" borderId="37" xfId="16" applyNumberFormat="1" applyFont="1" applyFill="1" applyBorder="1" applyAlignment="1">
      <alignment vertical="top"/>
    </xf>
    <xf numFmtId="0" fontId="58" fillId="0" borderId="36" xfId="16" applyNumberFormat="1" applyFont="1" applyFill="1" applyBorder="1" applyAlignment="1">
      <alignment vertical="top"/>
    </xf>
    <xf numFmtId="0" fontId="42" fillId="0" borderId="147" xfId="16" applyNumberFormat="1" applyFont="1" applyFill="1" applyBorder="1" applyAlignment="1">
      <alignment vertical="top"/>
    </xf>
    <xf numFmtId="0" fontId="42" fillId="0" borderId="147" xfId="16" applyNumberFormat="1" applyFont="1" applyFill="1" applyBorder="1" applyAlignment="1">
      <alignment vertical="center"/>
    </xf>
    <xf numFmtId="0" fontId="42" fillId="0" borderId="16" xfId="16" applyNumberFormat="1" applyFont="1" applyFill="1" applyBorder="1" applyAlignment="1">
      <alignment vertical="center"/>
    </xf>
    <xf numFmtId="0" fontId="42" fillId="0" borderId="29" xfId="16" applyNumberFormat="1" applyFont="1" applyFill="1" applyBorder="1" applyAlignment="1">
      <alignment vertical="center"/>
    </xf>
    <xf numFmtId="0" fontId="54" fillId="0" borderId="120" xfId="16" applyNumberFormat="1" applyFont="1" applyFill="1" applyBorder="1" applyAlignment="1">
      <alignment vertical="center"/>
    </xf>
    <xf numFmtId="0" fontId="42" fillId="0" borderId="121" xfId="16" applyNumberFormat="1" applyFont="1" applyFill="1" applyBorder="1" applyAlignment="1">
      <alignment vertical="center"/>
    </xf>
    <xf numFmtId="0" fontId="59" fillId="0" borderId="26" xfId="16" applyNumberFormat="1" applyFont="1" applyFill="1" applyBorder="1" applyAlignment="1">
      <alignment vertical="center"/>
    </xf>
    <xf numFmtId="0" fontId="59" fillId="0" borderId="37" xfId="16" applyNumberFormat="1" applyFont="1" applyFill="1" applyBorder="1" applyAlignment="1">
      <alignment vertical="center"/>
    </xf>
    <xf numFmtId="0" fontId="75" fillId="0" borderId="147" xfId="16" applyNumberFormat="1" applyFont="1" applyFill="1" applyBorder="1" applyAlignment="1">
      <alignment horizontal="left" vertical="center"/>
    </xf>
    <xf numFmtId="0" fontId="75" fillId="0" borderId="37" xfId="16" applyNumberFormat="1" applyFont="1" applyFill="1" applyBorder="1" applyAlignment="1">
      <alignment horizontal="left" vertical="center"/>
    </xf>
    <xf numFmtId="0" fontId="75" fillId="0" borderId="149" xfId="16" applyNumberFormat="1" applyFont="1" applyFill="1" applyBorder="1" applyAlignment="1">
      <alignment horizontal="left" vertical="center"/>
    </xf>
    <xf numFmtId="0" fontId="59" fillId="0" borderId="120" xfId="16" applyNumberFormat="1" applyFont="1" applyFill="1" applyBorder="1" applyAlignment="1">
      <alignment vertical="center"/>
    </xf>
    <xf numFmtId="0" fontId="75" fillId="0" borderId="30" xfId="16" applyNumberFormat="1" applyFont="1" applyFill="1" applyBorder="1" applyAlignment="1">
      <alignment horizontal="left" vertical="center"/>
    </xf>
    <xf numFmtId="0" fontId="59" fillId="0" borderId="37" xfId="16" applyNumberFormat="1" applyFont="1" applyFill="1" applyBorder="1" applyAlignment="1">
      <alignment vertical="top"/>
    </xf>
    <xf numFmtId="0" fontId="59" fillId="0" borderId="36" xfId="16" applyNumberFormat="1" applyFont="1" applyFill="1" applyBorder="1" applyAlignment="1">
      <alignment vertical="top"/>
    </xf>
    <xf numFmtId="0" fontId="59" fillId="0" borderId="119" xfId="16" applyNumberFormat="1" applyFont="1" applyFill="1" applyBorder="1" applyAlignment="1">
      <alignment vertical="center"/>
    </xf>
    <xf numFmtId="0" fontId="59" fillId="0" borderId="36" xfId="16" applyNumberFormat="1" applyFont="1" applyFill="1" applyBorder="1" applyAlignment="1">
      <alignment vertical="center"/>
    </xf>
    <xf numFmtId="0" fontId="59" fillId="0" borderId="26" xfId="16" applyFont="1" applyFill="1" applyBorder="1" applyAlignment="1">
      <alignment vertical="center"/>
    </xf>
    <xf numFmtId="0" fontId="59" fillId="0" borderId="37" xfId="16" applyFont="1" applyFill="1" applyBorder="1" applyAlignment="1">
      <alignment vertical="center"/>
    </xf>
    <xf numFmtId="0" fontId="59" fillId="0" borderId="149" xfId="16" applyNumberFormat="1" applyFont="1" applyFill="1" applyBorder="1" applyAlignment="1">
      <alignment vertical="center"/>
    </xf>
    <xf numFmtId="0" fontId="59" fillId="0" borderId="30" xfId="16" applyNumberFormat="1" applyFont="1" applyFill="1" applyBorder="1" applyAlignment="1">
      <alignment vertical="center"/>
    </xf>
    <xf numFmtId="0" fontId="59" fillId="0" borderId="37" xfId="16" applyFont="1" applyFill="1" applyBorder="1" applyAlignment="1">
      <alignment vertical="top"/>
    </xf>
    <xf numFmtId="0" fontId="59" fillId="0" borderId="16" xfId="16" applyFont="1" applyFill="1" applyBorder="1" applyAlignment="1">
      <alignment vertical="top"/>
    </xf>
    <xf numFmtId="0" fontId="59" fillId="0" borderId="118" xfId="16" applyNumberFormat="1" applyFont="1" applyFill="1" applyBorder="1" applyAlignment="1">
      <alignment vertical="center"/>
    </xf>
    <xf numFmtId="0" fontId="59" fillId="0" borderId="36" xfId="16" applyFont="1" applyFill="1" applyBorder="1" applyAlignment="1">
      <alignment vertical="top"/>
    </xf>
    <xf numFmtId="0" fontId="58" fillId="0" borderId="26" xfId="16" applyFont="1" applyFill="1" applyBorder="1" applyAlignment="1">
      <alignment vertical="center"/>
    </xf>
    <xf numFmtId="0" fontId="58" fillId="0" borderId="37" xfId="16" applyFont="1" applyFill="1" applyBorder="1" applyAlignment="1">
      <alignment vertical="center"/>
    </xf>
    <xf numFmtId="0" fontId="58" fillId="0" borderId="37" xfId="16" applyFont="1" applyFill="1" applyBorder="1" applyAlignment="1">
      <alignment vertical="top"/>
    </xf>
    <xf numFmtId="0" fontId="58" fillId="0" borderId="36" xfId="16" applyFont="1" applyFill="1" applyBorder="1" applyAlignment="1">
      <alignment vertical="top"/>
    </xf>
    <xf numFmtId="0" fontId="59" fillId="0" borderId="36" xfId="16" applyFont="1" applyFill="1" applyBorder="1" applyAlignment="1">
      <alignment vertical="center"/>
    </xf>
    <xf numFmtId="0" fontId="59" fillId="0" borderId="147" xfId="16" applyNumberFormat="1" applyFont="1" applyFill="1" applyBorder="1" applyAlignment="1">
      <alignment vertical="center"/>
    </xf>
    <xf numFmtId="0" fontId="59" fillId="0" borderId="16" xfId="16" applyNumberFormat="1" applyFont="1" applyFill="1" applyBorder="1" applyAlignment="1">
      <alignment vertical="center"/>
    </xf>
    <xf numFmtId="0" fontId="59" fillId="0" borderId="147" xfId="16" applyNumberFormat="1" applyFont="1" applyFill="1" applyBorder="1" applyAlignment="1">
      <alignment vertical="top"/>
    </xf>
    <xf numFmtId="0" fontId="37" fillId="0" borderId="26" xfId="16" applyFont="1" applyFill="1" applyBorder="1" applyAlignment="1">
      <alignment vertical="center"/>
    </xf>
    <xf numFmtId="0" fontId="37" fillId="0" borderId="37" xfId="16" applyFont="1" applyFill="1" applyBorder="1" applyAlignment="1">
      <alignment vertical="center"/>
    </xf>
    <xf numFmtId="0" fontId="37" fillId="0" borderId="120" xfId="16" applyFont="1" applyFill="1" applyBorder="1" applyAlignment="1">
      <alignment vertical="center"/>
    </xf>
    <xf numFmtId="0" fontId="37" fillId="0" borderId="30" xfId="16" applyFont="1" applyFill="1" applyBorder="1" applyAlignment="1">
      <alignment vertical="center"/>
    </xf>
    <xf numFmtId="0" fontId="37" fillId="0" borderId="147" xfId="16" applyFont="1" applyFill="1" applyBorder="1" applyAlignment="1">
      <alignment vertical="center"/>
    </xf>
    <xf numFmtId="0" fontId="37" fillId="0" borderId="37" xfId="16" applyFont="1" applyFill="1" applyBorder="1" applyAlignment="1">
      <alignment vertical="top"/>
    </xf>
    <xf numFmtId="0" fontId="37" fillId="0" borderId="147" xfId="16" applyFont="1" applyFill="1" applyBorder="1" applyAlignment="1">
      <alignment vertical="top"/>
    </xf>
    <xf numFmtId="0" fontId="52" fillId="0" borderId="26" xfId="16" applyFont="1" applyBorder="1" applyAlignment="1">
      <alignment vertical="center"/>
    </xf>
    <xf numFmtId="0" fontId="52" fillId="0" borderId="36" xfId="16" applyFont="1" applyBorder="1" applyAlignment="1">
      <alignment vertical="center"/>
    </xf>
    <xf numFmtId="0" fontId="52" fillId="5" borderId="37" xfId="16" applyFont="1" applyFill="1" applyBorder="1" applyAlignment="1">
      <alignment vertical="center"/>
    </xf>
    <xf numFmtId="0" fontId="52" fillId="5" borderId="0" xfId="16" applyFont="1" applyFill="1" applyBorder="1" applyAlignment="1">
      <alignment vertical="center"/>
    </xf>
    <xf numFmtId="0" fontId="52" fillId="5" borderId="118" xfId="16" applyFont="1" applyFill="1" applyBorder="1" applyAlignment="1">
      <alignment vertical="center"/>
    </xf>
    <xf numFmtId="0" fontId="52" fillId="5" borderId="36" xfId="16" applyFont="1" applyFill="1" applyBorder="1" applyAlignment="1">
      <alignment vertical="center"/>
    </xf>
    <xf numFmtId="0" fontId="52" fillId="0" borderId="37" xfId="5" applyFont="1" applyBorder="1" applyAlignment="1">
      <alignment vertical="top"/>
    </xf>
    <xf numFmtId="0" fontId="52" fillId="0" borderId="118" xfId="5" applyFont="1" applyBorder="1" applyAlignment="1">
      <alignment vertical="top"/>
    </xf>
    <xf numFmtId="0" fontId="52" fillId="0" borderId="37" xfId="16" applyFont="1" applyBorder="1" applyAlignment="1">
      <alignment vertical="center"/>
    </xf>
    <xf numFmtId="0" fontId="37" fillId="0" borderId="37" xfId="5" applyFont="1" applyBorder="1" applyAlignment="1">
      <alignment vertical="top"/>
    </xf>
    <xf numFmtId="0" fontId="52" fillId="5" borderId="26" xfId="16" applyFont="1" applyFill="1" applyBorder="1" applyAlignment="1">
      <alignment vertical="center"/>
    </xf>
    <xf numFmtId="0" fontId="37" fillId="0" borderId="37" xfId="5" applyFont="1" applyBorder="1" applyAlignment="1">
      <alignment vertical="center"/>
    </xf>
    <xf numFmtId="0" fontId="37" fillId="0" borderId="118" xfId="5" applyFont="1" applyBorder="1" applyAlignment="1">
      <alignment vertical="center"/>
    </xf>
    <xf numFmtId="0" fontId="58" fillId="0" borderId="37" xfId="5" applyFont="1" applyBorder="1" applyAlignment="1">
      <alignment vertical="center"/>
    </xf>
    <xf numFmtId="0" fontId="52" fillId="0" borderId="118" xfId="5" applyFont="1" applyBorder="1" applyAlignment="1">
      <alignment vertical="center"/>
    </xf>
    <xf numFmtId="0" fontId="52" fillId="0" borderId="37" xfId="5" applyFont="1" applyBorder="1" applyAlignment="1">
      <alignment vertical="center"/>
    </xf>
    <xf numFmtId="0" fontId="84" fillId="0" borderId="37" xfId="5" applyFont="1" applyBorder="1" applyAlignment="1">
      <alignment vertical="top"/>
    </xf>
    <xf numFmtId="0" fontId="58" fillId="0" borderId="37" xfId="5" applyFont="1" applyBorder="1" applyAlignment="1">
      <alignment vertical="top"/>
    </xf>
    <xf numFmtId="0" fontId="58" fillId="0" borderId="16" xfId="5" applyFont="1" applyBorder="1" applyAlignment="1">
      <alignment vertical="center"/>
    </xf>
    <xf numFmtId="0" fontId="52" fillId="5" borderId="147" xfId="16" applyFont="1" applyFill="1" applyBorder="1" applyAlignment="1">
      <alignment vertical="center"/>
    </xf>
    <xf numFmtId="0" fontId="52" fillId="0" borderId="5" xfId="5" applyFont="1" applyFill="1" applyBorder="1" applyAlignment="1">
      <alignment vertical="center"/>
    </xf>
    <xf numFmtId="0" fontId="52" fillId="0" borderId="16" xfId="5" applyFont="1" applyFill="1" applyBorder="1" applyAlignment="1">
      <alignment vertical="center"/>
    </xf>
    <xf numFmtId="0" fontId="52" fillId="0" borderId="147" xfId="5" applyFont="1" applyBorder="1" applyAlignment="1">
      <alignment vertical="top"/>
    </xf>
    <xf numFmtId="0" fontId="42" fillId="0" borderId="36" xfId="6" applyNumberFormat="1" applyFont="1" applyFill="1" applyBorder="1" applyAlignment="1">
      <alignment vertical="center"/>
    </xf>
    <xf numFmtId="0" fontId="50" fillId="0" borderId="26" xfId="16" applyNumberFormat="1" applyFont="1" applyBorder="1" applyAlignment="1">
      <alignment vertical="center"/>
    </xf>
    <xf numFmtId="0" fontId="50" fillId="0" borderId="37" xfId="16" applyNumberFormat="1" applyFont="1" applyBorder="1" applyAlignment="1">
      <alignment vertical="center"/>
    </xf>
    <xf numFmtId="0" fontId="85" fillId="0" borderId="26" xfId="16" applyFont="1" applyBorder="1" applyAlignment="1">
      <alignment vertical="center"/>
    </xf>
    <xf numFmtId="0" fontId="85" fillId="0" borderId="37" xfId="16" applyFont="1" applyBorder="1" applyAlignment="1">
      <alignment vertical="center"/>
    </xf>
    <xf numFmtId="0" fontId="85" fillId="0" borderId="16" xfId="16" applyFont="1" applyBorder="1" applyAlignment="1">
      <alignment vertical="center"/>
    </xf>
    <xf numFmtId="0" fontId="75" fillId="0" borderId="120" xfId="16" applyFont="1" applyBorder="1" applyAlignment="1">
      <alignment vertical="center"/>
    </xf>
    <xf numFmtId="0" fontId="75" fillId="0" borderId="121" xfId="16" applyFont="1" applyBorder="1" applyAlignment="1">
      <alignment vertical="center"/>
    </xf>
    <xf numFmtId="0" fontId="75" fillId="0" borderId="30" xfId="16" applyFont="1" applyBorder="1" applyAlignment="1">
      <alignment vertical="center"/>
    </xf>
    <xf numFmtId="0" fontId="59" fillId="0" borderId="121" xfId="16" applyFont="1" applyBorder="1" applyAlignment="1">
      <alignment vertical="center"/>
    </xf>
    <xf numFmtId="0" fontId="59" fillId="0" borderId="30" xfId="16" applyFont="1" applyBorder="1" applyAlignment="1">
      <alignment vertical="center"/>
    </xf>
    <xf numFmtId="0" fontId="59" fillId="0" borderId="37" xfId="16" applyFont="1" applyBorder="1" applyAlignment="1">
      <alignment vertical="center"/>
    </xf>
    <xf numFmtId="0" fontId="59" fillId="0" borderId="120" xfId="16" applyFont="1" applyBorder="1" applyAlignment="1">
      <alignment vertical="center"/>
    </xf>
    <xf numFmtId="0" fontId="59" fillId="0" borderId="118" xfId="16" applyFont="1" applyBorder="1" applyAlignment="1">
      <alignment vertical="center"/>
    </xf>
    <xf numFmtId="0" fontId="75" fillId="0" borderId="37" xfId="16" applyFont="1" applyBorder="1" applyAlignment="1">
      <alignment vertical="center"/>
    </xf>
    <xf numFmtId="0" fontId="85" fillId="0" borderId="22" xfId="16" applyFont="1" applyBorder="1" applyAlignment="1">
      <alignment vertical="center"/>
    </xf>
    <xf numFmtId="0" fontId="85" fillId="0" borderId="23" xfId="16" applyFont="1" applyBorder="1" applyAlignment="1">
      <alignment vertical="center"/>
    </xf>
    <xf numFmtId="0" fontId="59" fillId="0" borderId="23" xfId="16" applyFont="1" applyBorder="1" applyAlignment="1">
      <alignment vertical="center"/>
    </xf>
    <xf numFmtId="41" fontId="42" fillId="0" borderId="123" xfId="7" applyNumberFormat="1" applyFont="1" applyFill="1" applyBorder="1" applyAlignment="1">
      <alignment horizontal="left" vertical="center"/>
    </xf>
    <xf numFmtId="41" fontId="42" fillId="0" borderId="123" xfId="7" applyNumberFormat="1" applyFont="1" applyFill="1" applyBorder="1" applyAlignment="1">
      <alignment horizontal="center" vertical="center"/>
    </xf>
    <xf numFmtId="0" fontId="42" fillId="0" borderId="0" xfId="7" applyNumberFormat="1" applyFont="1" applyFill="1" applyBorder="1" applyAlignment="1">
      <alignment horizontal="left" vertical="center"/>
    </xf>
    <xf numFmtId="41" fontId="42" fillId="0" borderId="0" xfId="7" applyNumberFormat="1" applyFont="1" applyFill="1" applyBorder="1" applyAlignment="1">
      <alignment horizontal="center" vertical="center"/>
    </xf>
    <xf numFmtId="0" fontId="54" fillId="0" borderId="121" xfId="6" applyNumberFormat="1" applyFont="1" applyFill="1" applyBorder="1" applyAlignment="1">
      <alignment horizontal="left" vertical="center" shrinkToFit="1"/>
    </xf>
    <xf numFmtId="0" fontId="54" fillId="0" borderId="121" xfId="6" applyNumberFormat="1" applyFont="1" applyFill="1" applyBorder="1" applyAlignment="1">
      <alignment horizontal="center" vertical="center"/>
    </xf>
    <xf numFmtId="41" fontId="42" fillId="0" borderId="149" xfId="18" applyNumberFormat="1" applyFont="1" applyFill="1" applyBorder="1" applyAlignment="1">
      <alignment horizontal="center" vertical="center"/>
    </xf>
    <xf numFmtId="0" fontId="42" fillId="0" borderId="149" xfId="16" applyNumberFormat="1" applyFont="1" applyFill="1" applyBorder="1" applyAlignment="1">
      <alignment horizontal="center" vertical="center"/>
    </xf>
    <xf numFmtId="0" fontId="52" fillId="0" borderId="0" xfId="16" applyNumberFormat="1" applyFont="1" applyFill="1" applyBorder="1" applyAlignment="1">
      <alignment horizontal="center" vertical="center"/>
    </xf>
    <xf numFmtId="0" fontId="52" fillId="0" borderId="147" xfId="5" quotePrefix="1" applyNumberFormat="1" applyFont="1" applyFill="1" applyBorder="1" applyAlignment="1">
      <alignment horizontal="justify" vertical="center"/>
    </xf>
    <xf numFmtId="0" fontId="52" fillId="0" borderId="0" xfId="19" applyNumberFormat="1" applyFont="1" applyFill="1" applyBorder="1" applyAlignment="1">
      <alignment horizontal="center" vertical="center" shrinkToFit="1"/>
    </xf>
    <xf numFmtId="0" fontId="52" fillId="0" borderId="0" xfId="5" quotePrefix="1" applyNumberFormat="1" applyFont="1" applyFill="1" applyBorder="1" applyAlignment="1">
      <alignment horizontal="justify" vertical="center"/>
    </xf>
    <xf numFmtId="0" fontId="42" fillId="0" borderId="0" xfId="19" applyNumberFormat="1" applyFont="1" applyFill="1" applyBorder="1" applyAlignment="1">
      <alignment horizontal="center" vertical="center" shrinkToFit="1"/>
    </xf>
    <xf numFmtId="0" fontId="54" fillId="0" borderId="149" xfId="16" applyNumberFormat="1" applyFont="1" applyFill="1" applyBorder="1" applyAlignment="1">
      <alignment vertical="center" shrinkToFit="1"/>
    </xf>
    <xf numFmtId="0" fontId="42" fillId="0" borderId="149" xfId="16" applyNumberFormat="1" applyFont="1" applyFill="1" applyBorder="1" applyAlignment="1">
      <alignment horizontal="center" vertical="center" shrinkToFit="1"/>
    </xf>
    <xf numFmtId="0" fontId="42" fillId="0" borderId="0" xfId="5" applyNumberFormat="1" applyFont="1" applyFill="1" applyBorder="1" applyAlignment="1">
      <alignment horizontal="center" vertical="center"/>
    </xf>
    <xf numFmtId="0" fontId="42" fillId="0" borderId="123" xfId="5" applyNumberFormat="1" applyFont="1" applyFill="1" applyBorder="1" applyAlignment="1">
      <alignment horizontal="center" vertical="center"/>
    </xf>
    <xf numFmtId="0" fontId="54" fillId="0" borderId="0" xfId="17" applyNumberFormat="1" applyFont="1" applyFill="1" applyBorder="1" applyAlignment="1">
      <alignment horizontal="left" vertical="center" shrinkToFit="1"/>
    </xf>
    <xf numFmtId="0" fontId="42" fillId="0" borderId="147" xfId="17" applyNumberFormat="1" applyFont="1" applyFill="1" applyBorder="1" applyAlignment="1">
      <alignment horizontal="left" vertical="center" shrinkToFit="1"/>
    </xf>
    <xf numFmtId="0" fontId="54" fillId="0" borderId="0" xfId="5" applyNumberFormat="1" applyFont="1" applyFill="1" applyBorder="1" applyAlignment="1">
      <alignment horizontal="center" vertical="center"/>
    </xf>
    <xf numFmtId="0" fontId="52" fillId="0" borderId="147" xfId="17" applyNumberFormat="1" applyFont="1" applyFill="1" applyBorder="1" applyAlignment="1">
      <alignment horizontal="left" vertical="center" shrinkToFit="1"/>
    </xf>
    <xf numFmtId="0" fontId="52" fillId="0" borderId="0" xfId="17" applyNumberFormat="1" applyFont="1" applyFill="1" applyBorder="1" applyAlignment="1">
      <alignment horizontal="left" vertical="center"/>
    </xf>
    <xf numFmtId="0" fontId="54" fillId="0" borderId="148" xfId="16" applyNumberFormat="1" applyFont="1" applyFill="1" applyBorder="1" applyAlignment="1">
      <alignment vertical="center" shrinkToFit="1"/>
    </xf>
    <xf numFmtId="0" fontId="42" fillId="0" borderId="0" xfId="17" applyNumberFormat="1" applyFont="1" applyFill="1" applyBorder="1" applyAlignment="1">
      <alignment horizontal="left" vertical="center" shrinkToFit="1"/>
    </xf>
    <xf numFmtId="0" fontId="55" fillId="0" borderId="149" xfId="16" applyNumberFormat="1" applyFont="1" applyFill="1" applyBorder="1" applyAlignment="1">
      <alignment vertical="center" shrinkToFit="1"/>
    </xf>
    <xf numFmtId="0" fontId="52" fillId="0" borderId="149" xfId="16" applyNumberFormat="1" applyFont="1" applyFill="1" applyBorder="1" applyAlignment="1">
      <alignment horizontal="center" vertical="center"/>
    </xf>
    <xf numFmtId="0" fontId="37" fillId="0" borderId="0" xfId="17" applyNumberFormat="1" applyFont="1" applyFill="1" applyBorder="1" applyAlignment="1">
      <alignment vertical="center"/>
    </xf>
    <xf numFmtId="0" fontId="42" fillId="0" borderId="0" xfId="5" applyNumberFormat="1" applyFont="1" applyFill="1" applyBorder="1" applyAlignment="1">
      <alignment vertical="center" shrinkToFit="1"/>
    </xf>
    <xf numFmtId="0" fontId="52" fillId="0" borderId="123" xfId="17" applyNumberFormat="1" applyFont="1" applyFill="1" applyBorder="1" applyAlignment="1">
      <alignment horizontal="left" vertical="center" shrinkToFit="1"/>
    </xf>
    <xf numFmtId="0" fontId="42" fillId="0" borderId="123" xfId="16" applyNumberFormat="1" applyFont="1" applyFill="1" applyBorder="1" applyAlignment="1">
      <alignment horizontal="center" vertical="center"/>
    </xf>
    <xf numFmtId="0" fontId="54" fillId="0" borderId="0" xfId="16" applyNumberFormat="1" applyFont="1" applyFill="1" applyBorder="1" applyAlignment="1">
      <alignment vertical="center" shrinkToFit="1"/>
    </xf>
    <xf numFmtId="0" fontId="42" fillId="0" borderId="0" xfId="16" applyNumberFormat="1" applyFont="1" applyFill="1" applyBorder="1" applyAlignment="1">
      <alignment horizontal="center" vertical="center"/>
    </xf>
    <xf numFmtId="0" fontId="42" fillId="0" borderId="121" xfId="5" applyNumberFormat="1" applyFont="1" applyFill="1" applyBorder="1" applyAlignment="1">
      <alignment vertical="center" shrinkToFit="1"/>
    </xf>
    <xf numFmtId="0" fontId="42" fillId="0" borderId="121" xfId="5" applyNumberFormat="1" applyFont="1" applyFill="1" applyBorder="1" applyAlignment="1">
      <alignment horizontal="center" vertical="center"/>
    </xf>
    <xf numFmtId="0" fontId="54" fillId="0" borderId="0" xfId="5" applyNumberFormat="1" applyFont="1" applyFill="1" applyBorder="1" applyAlignment="1">
      <alignment vertical="center" shrinkToFit="1"/>
    </xf>
    <xf numFmtId="0" fontId="42" fillId="0" borderId="121" xfId="16" applyNumberFormat="1" applyFont="1" applyFill="1" applyBorder="1" applyAlignment="1">
      <alignment vertical="center" shrinkToFit="1"/>
    </xf>
    <xf numFmtId="0" fontId="42" fillId="0" borderId="121" xfId="16" applyNumberFormat="1" applyFont="1" applyFill="1" applyBorder="1" applyAlignment="1">
      <alignment horizontal="center" vertical="center"/>
    </xf>
    <xf numFmtId="41" fontId="42" fillId="0" borderId="0" xfId="17" applyNumberFormat="1" applyFont="1" applyFill="1" applyBorder="1" applyAlignment="1">
      <alignment horizontal="center" vertical="center"/>
    </xf>
    <xf numFmtId="41" fontId="42" fillId="0" borderId="121" xfId="17" applyNumberFormat="1" applyFont="1" applyFill="1" applyBorder="1" applyAlignment="1">
      <alignment horizontal="center" vertical="center"/>
    </xf>
    <xf numFmtId="41" fontId="42" fillId="0" borderId="149" xfId="17" applyNumberFormat="1" applyFont="1" applyFill="1" applyBorder="1" applyAlignment="1">
      <alignment horizontal="center" vertical="center"/>
    </xf>
    <xf numFmtId="41" fontId="42" fillId="0" borderId="121" xfId="7" applyNumberFormat="1" applyFont="1" applyFill="1" applyBorder="1" applyAlignment="1">
      <alignment horizontal="center" vertical="center"/>
    </xf>
    <xf numFmtId="0" fontId="54" fillId="0" borderId="121" xfId="16" applyNumberFormat="1" applyFont="1" applyFill="1" applyBorder="1" applyAlignment="1">
      <alignment vertical="center" shrinkToFit="1"/>
    </xf>
    <xf numFmtId="0" fontId="42" fillId="0" borderId="121" xfId="18" applyNumberFormat="1" applyFont="1" applyFill="1" applyBorder="1" applyAlignment="1">
      <alignment horizontal="center" vertical="center" shrinkToFit="1"/>
    </xf>
    <xf numFmtId="0" fontId="42" fillId="0" borderId="149" xfId="18" applyNumberFormat="1" applyFont="1" applyFill="1" applyBorder="1" applyAlignment="1">
      <alignment horizontal="center" vertical="center" shrinkToFit="1"/>
    </xf>
    <xf numFmtId="0" fontId="42" fillId="0" borderId="0" xfId="18" applyNumberFormat="1" applyFont="1" applyFill="1" applyBorder="1" applyAlignment="1">
      <alignment horizontal="center" vertical="center" shrinkToFit="1"/>
    </xf>
    <xf numFmtId="38" fontId="42" fillId="0" borderId="121" xfId="16" applyNumberFormat="1" applyFont="1" applyFill="1" applyBorder="1" applyAlignment="1">
      <alignment horizontal="center" vertical="center"/>
    </xf>
    <xf numFmtId="0" fontId="42" fillId="0" borderId="147" xfId="5" applyNumberFormat="1" applyFont="1" applyFill="1" applyBorder="1" applyAlignment="1">
      <alignment vertical="center" shrinkToFit="1"/>
    </xf>
    <xf numFmtId="41" fontId="59" fillId="0" borderId="149" xfId="18" applyNumberFormat="1" applyFont="1" applyFill="1" applyBorder="1" applyAlignment="1">
      <alignment horizontal="center" vertical="center"/>
    </xf>
    <xf numFmtId="0" fontId="55" fillId="0" borderId="148" xfId="18" applyNumberFormat="1" applyFont="1" applyFill="1" applyBorder="1" applyAlignment="1">
      <alignment horizontal="left" vertical="center"/>
    </xf>
    <xf numFmtId="0" fontId="42" fillId="0" borderId="147" xfId="16" applyNumberFormat="1" applyFont="1" applyFill="1" applyBorder="1" applyAlignment="1">
      <alignment horizontal="justify" vertical="center" wrapText="1"/>
    </xf>
    <xf numFmtId="0" fontId="42" fillId="0" borderId="147" xfId="5" quotePrefix="1" applyNumberFormat="1" applyFont="1" applyFill="1" applyBorder="1" applyAlignment="1">
      <alignment horizontal="justify" vertical="center" wrapText="1"/>
    </xf>
    <xf numFmtId="0" fontId="52" fillId="0" borderId="0" xfId="19" applyFont="1" applyFill="1" applyBorder="1" applyAlignment="1">
      <alignment horizontal="center" vertical="center" shrinkToFit="1"/>
    </xf>
    <xf numFmtId="0" fontId="42" fillId="0" borderId="0" xfId="5" quotePrefix="1" applyNumberFormat="1" applyFont="1" applyFill="1" applyBorder="1" applyAlignment="1">
      <alignment horizontal="justify" vertical="center" wrapText="1"/>
    </xf>
    <xf numFmtId="0" fontId="52" fillId="0" borderId="149" xfId="16" applyFont="1" applyFill="1" applyBorder="1" applyAlignment="1">
      <alignment horizontal="center" vertical="center"/>
    </xf>
    <xf numFmtId="0" fontId="55" fillId="0" borderId="149" xfId="16" applyFont="1" applyFill="1" applyBorder="1" applyAlignment="1">
      <alignment vertical="center" shrinkToFit="1"/>
    </xf>
    <xf numFmtId="0" fontId="52" fillId="0" borderId="149" xfId="16" applyFont="1" applyFill="1" applyBorder="1" applyAlignment="1">
      <alignment horizontal="center" vertical="center" shrinkToFit="1"/>
    </xf>
    <xf numFmtId="0" fontId="42" fillId="0" borderId="147" xfId="5" applyNumberFormat="1" applyFont="1" applyFill="1" applyBorder="1" applyAlignment="1">
      <alignment horizontal="justify" vertical="center" wrapText="1"/>
    </xf>
    <xf numFmtId="0" fontId="42" fillId="0" borderId="122" xfId="5" applyNumberFormat="1" applyFont="1" applyFill="1" applyBorder="1" applyAlignment="1">
      <alignment horizontal="justify" vertical="center" wrapText="1"/>
    </xf>
    <xf numFmtId="0" fontId="54" fillId="0" borderId="0" xfId="5" applyNumberFormat="1" applyFont="1" applyFill="1" applyBorder="1" applyAlignment="1">
      <alignment horizontal="justify" vertical="center" wrapText="1"/>
    </xf>
    <xf numFmtId="0" fontId="55" fillId="0" borderId="0" xfId="5" applyNumberFormat="1" applyFont="1" applyFill="1" applyBorder="1" applyAlignment="1">
      <alignment horizontal="center" vertical="center"/>
    </xf>
    <xf numFmtId="0" fontId="55" fillId="0" borderId="121" xfId="16" applyFont="1" applyFill="1" applyBorder="1" applyAlignment="1">
      <alignment vertical="center" shrinkToFit="1"/>
    </xf>
    <xf numFmtId="0" fontId="52" fillId="0" borderId="121" xfId="18" applyNumberFormat="1" applyFont="1" applyFill="1" applyBorder="1" applyAlignment="1">
      <alignment horizontal="center" vertical="center" shrinkToFit="1"/>
    </xf>
    <xf numFmtId="0" fontId="55" fillId="0" borderId="148" xfId="18" applyNumberFormat="1" applyFont="1" applyFill="1" applyBorder="1" applyAlignment="1">
      <alignment vertical="center" shrinkToFit="1"/>
    </xf>
    <xf numFmtId="0" fontId="52" fillId="0" borderId="149" xfId="18" applyNumberFormat="1" applyFont="1" applyFill="1" applyBorder="1" applyAlignment="1">
      <alignment horizontal="center" vertical="center" shrinkToFit="1"/>
    </xf>
    <xf numFmtId="0" fontId="42" fillId="0" borderId="122" xfId="18" applyNumberFormat="1" applyFont="1" applyFill="1" applyBorder="1" applyAlignment="1">
      <alignment horizontal="left" vertical="center" shrinkToFit="1"/>
    </xf>
    <xf numFmtId="0" fontId="52" fillId="0" borderId="123" xfId="16" applyFont="1" applyFill="1" applyBorder="1" applyAlignment="1">
      <alignment horizontal="center" vertical="center"/>
    </xf>
    <xf numFmtId="0" fontId="55" fillId="0" borderId="147" xfId="18" applyNumberFormat="1" applyFont="1" applyFill="1" applyBorder="1" applyAlignment="1">
      <alignment vertical="center" shrinkToFit="1"/>
    </xf>
    <xf numFmtId="0" fontId="52" fillId="0" borderId="0" xfId="18" applyNumberFormat="1" applyFont="1" applyFill="1" applyBorder="1" applyAlignment="1">
      <alignment horizontal="center" vertical="center" shrinkToFit="1"/>
    </xf>
    <xf numFmtId="0" fontId="42" fillId="0" borderId="147" xfId="18" applyNumberFormat="1" applyFont="1" applyFill="1" applyBorder="1" applyAlignment="1">
      <alignment vertical="center" shrinkToFit="1"/>
    </xf>
    <xf numFmtId="38" fontId="52" fillId="0" borderId="120" xfId="16" applyNumberFormat="1" applyFont="1" applyFill="1" applyBorder="1" applyAlignment="1">
      <alignment vertical="center" shrinkToFit="1"/>
    </xf>
    <xf numFmtId="38" fontId="52" fillId="0" borderId="121" xfId="16" applyNumberFormat="1" applyFont="1" applyFill="1" applyBorder="1" applyAlignment="1">
      <alignment horizontal="center" vertical="center"/>
    </xf>
    <xf numFmtId="0" fontId="55" fillId="0" borderId="0" xfId="16" applyFont="1" applyFill="1" applyBorder="1" applyAlignment="1">
      <alignment vertical="center" shrinkToFit="1"/>
    </xf>
    <xf numFmtId="0" fontId="52" fillId="0" borderId="0" xfId="16" applyFont="1" applyFill="1" applyBorder="1" applyAlignment="1">
      <alignment horizontal="center" vertical="center"/>
    </xf>
    <xf numFmtId="0" fontId="55" fillId="0" borderId="121" xfId="5" applyFont="1" applyBorder="1" applyAlignment="1">
      <alignment vertical="center"/>
    </xf>
    <xf numFmtId="0" fontId="55" fillId="0" borderId="148" xfId="5" applyFont="1" applyBorder="1" applyAlignment="1">
      <alignment vertical="center"/>
    </xf>
    <xf numFmtId="0" fontId="52" fillId="0" borderId="149" xfId="5" applyFont="1" applyBorder="1" applyAlignment="1">
      <alignment horizontal="center" vertical="center" shrinkToFit="1"/>
    </xf>
    <xf numFmtId="0" fontId="52" fillId="0" borderId="0" xfId="21" applyFont="1" applyFill="1" applyBorder="1" applyAlignment="1">
      <alignment horizontal="center" vertical="center"/>
    </xf>
    <xf numFmtId="0" fontId="42" fillId="0" borderId="147" xfId="5" applyNumberFormat="1" applyFont="1" applyBorder="1" applyAlignment="1">
      <alignment vertical="center"/>
    </xf>
    <xf numFmtId="0" fontId="52" fillId="0" borderId="0" xfId="5" applyFont="1" applyBorder="1" applyAlignment="1">
      <alignment horizontal="center" vertical="center" shrinkToFit="1"/>
    </xf>
    <xf numFmtId="0" fontId="42" fillId="0" borderId="147" xfId="5" applyNumberFormat="1" applyFont="1" applyBorder="1" applyAlignment="1">
      <alignment horizontal="justify" vertical="center" wrapText="1"/>
    </xf>
    <xf numFmtId="0" fontId="55" fillId="0" borderId="149" xfId="21" applyFont="1" applyBorder="1" applyAlignment="1">
      <alignment horizontal="center" vertical="center"/>
    </xf>
    <xf numFmtId="0" fontId="42" fillId="0" borderId="147" xfId="5" applyNumberFormat="1" applyFont="1" applyFill="1" applyBorder="1" applyAlignment="1">
      <alignment vertical="center"/>
    </xf>
    <xf numFmtId="0" fontId="52" fillId="0" borderId="0" xfId="21" applyFont="1" applyBorder="1" applyAlignment="1">
      <alignment horizontal="center" vertical="center"/>
    </xf>
    <xf numFmtId="0" fontId="55" fillId="0" borderId="148" xfId="5" applyFont="1" applyBorder="1" applyAlignment="1">
      <alignment horizontal="justify" vertical="center"/>
    </xf>
    <xf numFmtId="0" fontId="52" fillId="0" borderId="149" xfId="21" applyFont="1" applyBorder="1" applyAlignment="1">
      <alignment horizontal="center" vertical="center"/>
    </xf>
    <xf numFmtId="0" fontId="52" fillId="0" borderId="147" xfId="5" applyFont="1" applyBorder="1" applyAlignment="1">
      <alignment horizontal="justify" vertical="center"/>
    </xf>
    <xf numFmtId="0" fontId="42" fillId="0" borderId="122" xfId="5" applyNumberFormat="1" applyFont="1" applyBorder="1" applyAlignment="1">
      <alignment horizontal="justify" vertical="center" wrapText="1"/>
    </xf>
    <xf numFmtId="0" fontId="55" fillId="0" borderId="121" xfId="21" applyFont="1" applyBorder="1" applyAlignment="1">
      <alignment horizontal="center" vertical="center"/>
    </xf>
    <xf numFmtId="0" fontId="55" fillId="0" borderId="148" xfId="17" applyNumberFormat="1" applyFont="1" applyBorder="1" applyAlignment="1">
      <alignment vertical="center" shrinkToFit="1"/>
    </xf>
    <xf numFmtId="0" fontId="42" fillId="0" borderId="122" xfId="5" applyNumberFormat="1" applyFont="1" applyBorder="1" applyAlignment="1">
      <alignment horizontal="left" vertical="center" shrinkToFit="1"/>
    </xf>
    <xf numFmtId="0" fontId="52" fillId="0" borderId="123" xfId="5" applyFont="1" applyBorder="1" applyAlignment="1">
      <alignment horizontal="center" vertical="center"/>
    </xf>
    <xf numFmtId="0" fontId="55" fillId="0" borderId="122" xfId="5" applyFont="1" applyFill="1" applyBorder="1" applyAlignment="1">
      <alignment vertical="center"/>
    </xf>
    <xf numFmtId="0" fontId="55" fillId="0" borderId="123" xfId="21" applyFont="1" applyFill="1" applyBorder="1" applyAlignment="1">
      <alignment horizontal="center" vertical="center"/>
    </xf>
    <xf numFmtId="0" fontId="55" fillId="0" borderId="148" xfId="5" applyFont="1" applyBorder="1" applyAlignment="1">
      <alignment vertical="center" shrinkToFit="1"/>
    </xf>
    <xf numFmtId="0" fontId="42" fillId="0" borderId="184" xfId="5" applyNumberFormat="1" applyFont="1" applyFill="1" applyBorder="1" applyAlignment="1">
      <alignment horizontal="justify" vertical="center" wrapText="1"/>
    </xf>
    <xf numFmtId="0" fontId="42" fillId="0" borderId="0" xfId="5" applyNumberFormat="1" applyFont="1" applyFill="1" applyBorder="1" applyAlignment="1">
      <alignment horizontal="justify" vertical="center" wrapText="1"/>
    </xf>
    <xf numFmtId="0" fontId="42" fillId="0" borderId="147" xfId="5" quotePrefix="1" applyNumberFormat="1" applyFont="1" applyBorder="1" applyAlignment="1">
      <alignment horizontal="justify" vertical="center" wrapText="1"/>
    </xf>
    <xf numFmtId="0" fontId="42" fillId="0" borderId="0" xfId="5" quotePrefix="1" applyNumberFormat="1" applyFont="1" applyBorder="1" applyAlignment="1">
      <alignment horizontal="justify" vertical="center" wrapText="1"/>
    </xf>
    <xf numFmtId="0" fontId="55" fillId="0" borderId="147" xfId="5" applyFont="1" applyFill="1" applyBorder="1" applyAlignment="1">
      <alignment horizontal="justify" vertical="center" wrapText="1"/>
    </xf>
    <xf numFmtId="0" fontId="52" fillId="0" borderId="149" xfId="5" applyFont="1" applyFill="1" applyBorder="1" applyAlignment="1">
      <alignment horizontal="center" vertical="center"/>
    </xf>
    <xf numFmtId="41" fontId="42" fillId="0" borderId="143" xfId="7" applyNumberFormat="1" applyFont="1" applyFill="1" applyBorder="1" applyAlignment="1">
      <alignment horizontal="left" vertical="center"/>
    </xf>
    <xf numFmtId="41" fontId="42" fillId="0" borderId="143" xfId="7" applyNumberFormat="1" applyFont="1" applyFill="1" applyBorder="1" applyAlignment="1">
      <alignment horizontal="center" vertical="center"/>
    </xf>
    <xf numFmtId="0" fontId="42" fillId="0" borderId="121" xfId="6" applyNumberFormat="1" applyFont="1" applyFill="1" applyBorder="1" applyAlignment="1">
      <alignment horizontal="left" vertical="center" shrinkToFit="1"/>
    </xf>
    <xf numFmtId="0" fontId="42" fillId="0" borderId="121" xfId="6" applyNumberFormat="1" applyFont="1" applyFill="1" applyBorder="1" applyAlignment="1">
      <alignment horizontal="center" vertical="center"/>
    </xf>
    <xf numFmtId="0" fontId="42" fillId="0" borderId="123" xfId="5" applyNumberFormat="1" applyFont="1" applyFill="1" applyBorder="1" applyAlignment="1">
      <alignment vertical="center" shrinkToFit="1"/>
    </xf>
    <xf numFmtId="0" fontId="52" fillId="0" borderId="120" xfId="5" applyFont="1" applyFill="1" applyBorder="1" applyAlignment="1">
      <alignment horizontal="justify" vertical="center" wrapText="1"/>
    </xf>
    <xf numFmtId="41" fontId="53" fillId="0" borderId="121" xfId="17" applyFont="1" applyFill="1" applyBorder="1" applyAlignment="1">
      <alignment horizontal="center" vertical="center"/>
    </xf>
    <xf numFmtId="41" fontId="53" fillId="0" borderId="149" xfId="17" applyFont="1" applyFill="1" applyBorder="1" applyAlignment="1">
      <alignment horizontal="center" vertical="center"/>
    </xf>
    <xf numFmtId="0" fontId="42" fillId="0" borderId="0" xfId="6" applyNumberFormat="1" applyFont="1" applyFill="1" applyBorder="1" applyAlignment="1">
      <alignment horizontal="left" vertical="center" shrinkToFit="1"/>
    </xf>
    <xf numFmtId="41" fontId="52" fillId="0" borderId="121" xfId="17" applyFont="1" applyFill="1" applyBorder="1" applyAlignment="1">
      <alignment horizontal="center" vertical="center"/>
    </xf>
    <xf numFmtId="0" fontId="52" fillId="0" borderId="126" xfId="5" applyFont="1" applyFill="1" applyBorder="1" applyAlignment="1">
      <alignment horizontal="justify" vertical="center" wrapText="1"/>
    </xf>
    <xf numFmtId="41" fontId="53" fillId="0" borderId="113" xfId="17" applyFont="1" applyFill="1" applyBorder="1" applyAlignment="1">
      <alignment horizontal="center" vertical="center"/>
    </xf>
    <xf numFmtId="182" fontId="52" fillId="0" borderId="119" xfId="17" applyNumberFormat="1" applyFont="1" applyBorder="1" applyAlignment="1">
      <alignment horizontal="right" vertical="center"/>
    </xf>
    <xf numFmtId="0" fontId="42" fillId="0" borderId="123" xfId="5" applyNumberFormat="1" applyFont="1" applyFill="1" applyBorder="1" applyAlignment="1">
      <alignment horizontal="justify" vertical="center" wrapText="1"/>
    </xf>
    <xf numFmtId="0" fontId="52" fillId="0" borderId="121" xfId="5" applyFont="1" applyFill="1" applyBorder="1" applyAlignment="1">
      <alignment horizontal="justify" vertical="center" wrapText="1"/>
    </xf>
    <xf numFmtId="0" fontId="55" fillId="0" borderId="149" xfId="5" applyFont="1" applyFill="1" applyBorder="1" applyAlignment="1">
      <alignment horizontal="justify" vertical="center" wrapText="1"/>
    </xf>
    <xf numFmtId="176" fontId="42" fillId="0" borderId="0" xfId="16" applyNumberFormat="1" applyFont="1" applyFill="1" applyBorder="1" applyAlignment="1">
      <alignment vertical="center"/>
    </xf>
    <xf numFmtId="180" fontId="40" fillId="0" borderId="0" xfId="16" applyNumberFormat="1" applyFont="1" applyFill="1" applyBorder="1" applyAlignment="1">
      <alignment vertical="center" shrinkToFit="1"/>
    </xf>
    <xf numFmtId="186" fontId="42" fillId="0" borderId="0" xfId="17" applyNumberFormat="1" applyFont="1" applyFill="1" applyBorder="1" applyAlignment="1">
      <alignment vertical="center" shrinkToFit="1"/>
    </xf>
    <xf numFmtId="176" fontId="42" fillId="0" borderId="0" xfId="16" applyNumberFormat="1" applyFont="1" applyFill="1" applyBorder="1" applyAlignment="1">
      <alignment vertical="center" shrinkToFit="1"/>
    </xf>
    <xf numFmtId="0" fontId="42" fillId="0" borderId="0" xfId="16" applyNumberFormat="1" applyFont="1" applyFill="1" applyBorder="1" applyAlignment="1">
      <alignment vertical="center"/>
    </xf>
    <xf numFmtId="0" fontId="42" fillId="0" borderId="0" xfId="16" applyNumberFormat="1" applyFont="1" applyFill="1" applyAlignment="1">
      <alignment vertical="center"/>
    </xf>
    <xf numFmtId="0" fontId="42" fillId="0" borderId="0" xfId="6" applyNumberFormat="1" applyFont="1" applyFill="1" applyBorder="1" applyAlignment="1">
      <alignment horizontal="center" vertical="center"/>
    </xf>
    <xf numFmtId="41" fontId="42" fillId="0" borderId="0" xfId="6" applyNumberFormat="1" applyFont="1" applyFill="1" applyBorder="1" applyAlignment="1">
      <alignment horizontal="right" vertical="center"/>
    </xf>
    <xf numFmtId="0" fontId="54" fillId="0" borderId="0" xfId="7" applyNumberFormat="1" applyFont="1" applyFill="1" applyBorder="1" applyAlignment="1">
      <alignment vertical="center"/>
    </xf>
    <xf numFmtId="41" fontId="42" fillId="0" borderId="0" xfId="7" applyNumberFormat="1" applyFont="1" applyFill="1" applyBorder="1" applyAlignment="1">
      <alignment horizontal="right" vertical="center"/>
    </xf>
    <xf numFmtId="0" fontId="58" fillId="0" borderId="0" xfId="16" applyNumberFormat="1" applyFont="1" applyFill="1" applyAlignment="1">
      <alignment vertical="center"/>
    </xf>
    <xf numFmtId="0" fontId="42" fillId="0" borderId="0" xfId="16" applyNumberFormat="1" applyFont="1" applyBorder="1" applyAlignment="1">
      <alignment vertical="center"/>
    </xf>
    <xf numFmtId="176" fontId="42" fillId="0" borderId="0" xfId="5" applyNumberFormat="1" applyFont="1" applyFill="1" applyBorder="1" applyAlignment="1">
      <alignment vertical="center"/>
    </xf>
    <xf numFmtId="0" fontId="42" fillId="0" borderId="0" xfId="5" applyNumberFormat="1" applyFont="1" applyAlignment="1">
      <alignment vertical="center"/>
    </xf>
    <xf numFmtId="0" fontId="58" fillId="0" borderId="0" xfId="5" applyNumberFormat="1" applyFont="1" applyAlignment="1">
      <alignment vertical="center"/>
    </xf>
    <xf numFmtId="0" fontId="54" fillId="0" borderId="0" xfId="16" applyNumberFormat="1" applyFont="1" applyFill="1"/>
    <xf numFmtId="0" fontId="42" fillId="0" borderId="0" xfId="16" applyNumberFormat="1" applyFont="1" applyFill="1"/>
    <xf numFmtId="0" fontId="42" fillId="0" borderId="0" xfId="5" applyNumberFormat="1" applyFont="1" applyFill="1" applyAlignment="1"/>
    <xf numFmtId="0" fontId="52" fillId="0" borderId="0" xfId="5" applyNumberFormat="1" applyFont="1" applyFill="1" applyAlignment="1"/>
    <xf numFmtId="3" fontId="52" fillId="0" borderId="0" xfId="5" applyNumberFormat="1" applyFont="1" applyFill="1" applyAlignment="1"/>
    <xf numFmtId="0" fontId="42" fillId="0" borderId="123" xfId="16" applyNumberFormat="1" applyFont="1" applyFill="1" applyBorder="1"/>
    <xf numFmtId="0" fontId="52" fillId="0" borderId="123" xfId="5" applyNumberFormat="1" applyFont="1" applyFill="1" applyBorder="1" applyAlignment="1"/>
    <xf numFmtId="41" fontId="52" fillId="0" borderId="0" xfId="18" applyNumberFormat="1" applyFont="1" applyFill="1" applyAlignment="1">
      <alignment vertical="center"/>
    </xf>
    <xf numFmtId="0" fontId="52" fillId="0" borderId="0" xfId="16" applyNumberFormat="1" applyFont="1" applyFill="1" applyAlignment="1">
      <alignment vertical="center"/>
    </xf>
    <xf numFmtId="41" fontId="52" fillId="0" borderId="0" xfId="17" applyNumberFormat="1" applyFont="1" applyFill="1" applyAlignment="1">
      <alignment vertical="center"/>
    </xf>
    <xf numFmtId="0" fontId="52" fillId="0" borderId="0" xfId="5" applyNumberFormat="1" applyFont="1" applyFill="1" applyAlignment="1">
      <alignment vertical="center"/>
    </xf>
    <xf numFmtId="0" fontId="42" fillId="0" borderId="0" xfId="16" applyNumberFormat="1" applyFont="1" applyFill="1" applyBorder="1"/>
    <xf numFmtId="41" fontId="52" fillId="0" borderId="0" xfId="17" applyNumberFormat="1" applyFont="1" applyFill="1" applyBorder="1" applyAlignment="1">
      <alignment vertical="center"/>
    </xf>
    <xf numFmtId="0" fontId="58" fillId="0" borderId="0" xfId="16" applyNumberFormat="1" applyFont="1" applyFill="1"/>
    <xf numFmtId="0" fontId="42" fillId="0" borderId="124" xfId="16" applyNumberFormat="1" applyFont="1" applyFill="1" applyBorder="1" applyAlignment="1">
      <alignment vertical="center"/>
    </xf>
    <xf numFmtId="0" fontId="42" fillId="0" borderId="124" xfId="16" applyNumberFormat="1" applyFont="1" applyFill="1" applyBorder="1"/>
    <xf numFmtId="0" fontId="52" fillId="0" borderId="0" xfId="16" applyNumberFormat="1" applyFont="1" applyFill="1"/>
    <xf numFmtId="0" fontId="42" fillId="0" borderId="0" xfId="16" applyNumberFormat="1" applyFont="1"/>
    <xf numFmtId="41" fontId="42" fillId="0" borderId="0" xfId="17" applyNumberFormat="1" applyFont="1" applyFill="1" applyAlignment="1">
      <alignment vertical="center"/>
    </xf>
    <xf numFmtId="0" fontId="42" fillId="0" borderId="0" xfId="5" applyNumberFormat="1" applyFont="1" applyFill="1" applyAlignment="1">
      <alignment vertical="center"/>
    </xf>
    <xf numFmtId="41" fontId="42" fillId="0" borderId="0" xfId="18" applyNumberFormat="1" applyFont="1" applyFill="1" applyBorder="1" applyAlignment="1">
      <alignment vertical="center"/>
    </xf>
    <xf numFmtId="41" fontId="52" fillId="0" borderId="0" xfId="18" applyNumberFormat="1" applyFont="1" applyFill="1" applyBorder="1" applyAlignment="1">
      <alignment vertical="center"/>
    </xf>
    <xf numFmtId="0" fontId="52" fillId="0" borderId="0" xfId="16" applyNumberFormat="1" applyFont="1" applyFill="1" applyBorder="1" applyAlignment="1">
      <alignment vertical="center"/>
    </xf>
    <xf numFmtId="182" fontId="42" fillId="0" borderId="0" xfId="16" applyNumberFormat="1" applyFont="1" applyFill="1" applyBorder="1" applyAlignment="1">
      <alignment vertical="center"/>
    </xf>
    <xf numFmtId="182" fontId="42" fillId="0" borderId="0" xfId="16" applyNumberFormat="1" applyFont="1"/>
    <xf numFmtId="182" fontId="52" fillId="0" borderId="0" xfId="5" applyNumberFormat="1" applyFont="1" applyAlignment="1"/>
    <xf numFmtId="0" fontId="52" fillId="0" borderId="0" xfId="5" applyNumberFormat="1" applyFont="1" applyAlignment="1"/>
    <xf numFmtId="0" fontId="42" fillId="0" borderId="0" xfId="5" applyNumberFormat="1" applyFont="1" applyAlignment="1"/>
    <xf numFmtId="41" fontId="86" fillId="0" borderId="0" xfId="10" applyFont="1" applyFill="1">
      <alignment vertical="center"/>
    </xf>
    <xf numFmtId="0" fontId="54" fillId="0" borderId="0" xfId="16" applyNumberFormat="1" applyFont="1"/>
    <xf numFmtId="176" fontId="87" fillId="0" borderId="0" xfId="10" applyNumberFormat="1" applyFont="1">
      <alignment vertical="center"/>
    </xf>
    <xf numFmtId="3" fontId="42" fillId="0" borderId="0" xfId="16" applyNumberFormat="1" applyFont="1"/>
    <xf numFmtId="0" fontId="59" fillId="0" borderId="0" xfId="16" applyNumberFormat="1" applyFont="1" applyFill="1" applyAlignment="1">
      <alignment vertical="center"/>
    </xf>
    <xf numFmtId="0" fontId="59" fillId="0" borderId="0" xfId="16" applyNumberFormat="1" applyFont="1" applyFill="1" applyBorder="1" applyAlignment="1">
      <alignment vertical="center"/>
    </xf>
    <xf numFmtId="0" fontId="37" fillId="0" borderId="0" xfId="16" applyFont="1" applyBorder="1" applyAlignment="1">
      <alignment vertical="center"/>
    </xf>
    <xf numFmtId="176" fontId="37" fillId="0" borderId="0" xfId="5" applyNumberFormat="1" applyFont="1" applyFill="1" applyBorder="1" applyAlignment="1">
      <alignment vertical="center"/>
    </xf>
    <xf numFmtId="0" fontId="37" fillId="0" borderId="0" xfId="5" applyNumberFormat="1" applyFont="1" applyAlignment="1">
      <alignment vertical="center"/>
    </xf>
    <xf numFmtId="0" fontId="37" fillId="0" borderId="0" xfId="16" applyFont="1" applyFill="1"/>
    <xf numFmtId="176" fontId="25" fillId="0" borderId="0" xfId="5" applyNumberFormat="1" applyFont="1" applyFill="1" applyBorder="1" applyAlignment="1">
      <alignment vertical="center"/>
    </xf>
    <xf numFmtId="0" fontId="25" fillId="0" borderId="0" xfId="5" applyNumberFormat="1" applyFont="1" applyAlignment="1">
      <alignment vertical="center"/>
    </xf>
    <xf numFmtId="0" fontId="37" fillId="0" borderId="0" xfId="16" applyFont="1" applyFill="1" applyBorder="1"/>
    <xf numFmtId="0" fontId="58" fillId="0" borderId="0" xfId="16" applyFont="1" applyFill="1"/>
    <xf numFmtId="0" fontId="37" fillId="0" borderId="0" xfId="5" applyFont="1" applyFill="1" applyAlignment="1"/>
    <xf numFmtId="0" fontId="37" fillId="0" borderId="0" xfId="16" applyFont="1"/>
    <xf numFmtId="3" fontId="37" fillId="0" borderId="0" xfId="16" applyNumberFormat="1" applyFont="1"/>
    <xf numFmtId="0" fontId="48" fillId="0" borderId="0" xfId="16"/>
    <xf numFmtId="0" fontId="54" fillId="0" borderId="124" xfId="7" applyNumberFormat="1" applyFont="1" applyFill="1" applyBorder="1" applyAlignment="1">
      <alignment vertical="center"/>
    </xf>
    <xf numFmtId="0" fontId="42" fillId="0" borderId="124" xfId="7" applyNumberFormat="1" applyFont="1" applyFill="1" applyBorder="1" applyAlignment="1">
      <alignment horizontal="center" vertical="center"/>
    </xf>
    <xf numFmtId="42" fontId="52" fillId="0" borderId="98" xfId="17" applyNumberFormat="1" applyFont="1" applyFill="1" applyBorder="1" applyAlignment="1">
      <alignment horizontal="left" vertical="center"/>
    </xf>
    <xf numFmtId="0" fontId="37" fillId="0" borderId="0" xfId="5" applyFont="1" applyBorder="1" applyAlignment="1">
      <alignment vertical="center"/>
    </xf>
    <xf numFmtId="42" fontId="52" fillId="0" borderId="150" xfId="17" applyNumberFormat="1" applyFont="1" applyBorder="1" applyAlignment="1">
      <alignment horizontal="left" vertical="center"/>
    </xf>
    <xf numFmtId="0" fontId="37" fillId="0" borderId="0" xfId="16" applyNumberFormat="1" applyFont="1" applyAlignment="1">
      <alignment vertical="center"/>
    </xf>
    <xf numFmtId="0" fontId="37" fillId="0" borderId="0" xfId="16" applyFont="1" applyAlignment="1">
      <alignment vertical="center"/>
    </xf>
    <xf numFmtId="42" fontId="42" fillId="12" borderId="39" xfId="17" applyNumberFormat="1" applyFont="1" applyFill="1" applyBorder="1" applyAlignment="1">
      <alignment horizontal="left" vertical="center"/>
    </xf>
    <xf numFmtId="42" fontId="42" fillId="0" borderId="39" xfId="17" applyNumberFormat="1" applyFont="1" applyBorder="1" applyAlignment="1">
      <alignment horizontal="left" vertical="center"/>
    </xf>
    <xf numFmtId="42" fontId="37" fillId="0" borderId="150" xfId="17" applyNumberFormat="1" applyFont="1" applyBorder="1" applyAlignment="1">
      <alignment horizontal="left" vertical="center"/>
    </xf>
    <xf numFmtId="42" fontId="37" fillId="0" borderId="150" xfId="17" applyNumberFormat="1" applyFont="1" applyFill="1" applyBorder="1" applyAlignment="1">
      <alignment horizontal="left" vertical="center"/>
    </xf>
    <xf numFmtId="0" fontId="52" fillId="0" borderId="39" xfId="5" applyFont="1" applyBorder="1" applyAlignment="1">
      <alignment horizontal="justify" vertical="center" wrapText="1"/>
    </xf>
    <xf numFmtId="0" fontId="52" fillId="4" borderId="39" xfId="5" applyFont="1" applyFill="1" applyBorder="1" applyAlignment="1">
      <alignment horizontal="justify" vertical="center" wrapText="1"/>
    </xf>
    <xf numFmtId="0" fontId="52" fillId="0" borderId="150" xfId="5" applyFont="1" applyBorder="1" applyAlignment="1">
      <alignment horizontal="justify" vertical="center" wrapText="1"/>
    </xf>
    <xf numFmtId="0" fontId="42" fillId="0" borderId="39" xfId="5" applyNumberFormat="1" applyFont="1" applyBorder="1" applyAlignment="1">
      <alignment horizontal="justify" vertical="center" wrapText="1"/>
    </xf>
    <xf numFmtId="0" fontId="42" fillId="12" borderId="39" xfId="5" applyNumberFormat="1" applyFont="1" applyFill="1" applyBorder="1" applyAlignment="1">
      <alignment horizontal="justify" vertical="center" wrapText="1"/>
    </xf>
    <xf numFmtId="0" fontId="58" fillId="0" borderId="81" xfId="5" applyFont="1" applyBorder="1" applyAlignment="1">
      <alignment vertical="center" shrinkToFit="1"/>
    </xf>
    <xf numFmtId="42" fontId="58" fillId="5" borderId="81" xfId="17" applyNumberFormat="1" applyFont="1" applyFill="1" applyBorder="1" applyAlignment="1">
      <alignment horizontal="left" vertical="center"/>
    </xf>
    <xf numFmtId="42" fontId="37" fillId="0" borderId="39" xfId="17" applyNumberFormat="1" applyFont="1" applyBorder="1" applyAlignment="1">
      <alignment horizontal="left" vertical="center"/>
    </xf>
    <xf numFmtId="0" fontId="52" fillId="0" borderId="39" xfId="5" applyFont="1" applyFill="1" applyBorder="1" applyAlignment="1">
      <alignment horizontal="justify" vertical="center" wrapText="1"/>
    </xf>
    <xf numFmtId="49" fontId="42" fillId="0" borderId="39" xfId="5" applyNumberFormat="1" applyFont="1" applyBorder="1" applyAlignment="1">
      <alignment vertical="center"/>
    </xf>
    <xf numFmtId="0" fontId="42" fillId="0" borderId="39" xfId="5" quotePrefix="1" applyNumberFormat="1" applyFont="1" applyBorder="1" applyAlignment="1">
      <alignment horizontal="justify" vertical="center" wrapText="1"/>
    </xf>
    <xf numFmtId="0" fontId="42" fillId="0" borderId="39" xfId="16" applyNumberFormat="1" applyFont="1" applyFill="1" applyBorder="1" applyAlignment="1">
      <alignment vertical="center"/>
    </xf>
    <xf numFmtId="0" fontId="42" fillId="0" borderId="39" xfId="5" quotePrefix="1" applyNumberFormat="1" applyFont="1" applyBorder="1" applyAlignment="1">
      <alignment vertical="center" wrapText="1"/>
    </xf>
    <xf numFmtId="0" fontId="42" fillId="0" borderId="39" xfId="5" applyNumberFormat="1" applyFont="1" applyBorder="1" applyAlignment="1">
      <alignment vertical="center"/>
    </xf>
    <xf numFmtId="0" fontId="42" fillId="0" borderId="39" xfId="5" applyNumberFormat="1" applyFont="1" applyBorder="1" applyAlignment="1">
      <alignment vertical="center" shrinkToFit="1"/>
    </xf>
    <xf numFmtId="0" fontId="42" fillId="0" borderId="39" xfId="5" quotePrefix="1" applyNumberFormat="1" applyFont="1" applyBorder="1" applyAlignment="1">
      <alignment vertical="center"/>
    </xf>
    <xf numFmtId="0" fontId="42" fillId="0" borderId="39" xfId="5" applyNumberFormat="1" applyFont="1" applyFill="1" applyBorder="1" applyAlignment="1">
      <alignment horizontal="justify" vertical="center" wrapText="1"/>
    </xf>
    <xf numFmtId="0" fontId="42" fillId="0" borderId="39" xfId="5" applyNumberFormat="1" applyFont="1" applyFill="1" applyBorder="1" applyAlignment="1">
      <alignment vertical="center"/>
    </xf>
    <xf numFmtId="0" fontId="42" fillId="0" borderId="39" xfId="5" applyNumberFormat="1" applyFont="1" applyFill="1" applyBorder="1" applyAlignment="1">
      <alignment horizontal="left" vertical="center" wrapText="1"/>
    </xf>
    <xf numFmtId="0" fontId="42" fillId="0" borderId="39" xfId="5" applyNumberFormat="1" applyFont="1" applyFill="1" applyBorder="1" applyAlignment="1">
      <alignment vertical="center" wrapText="1"/>
    </xf>
    <xf numFmtId="0" fontId="54" fillId="0" borderId="124" xfId="7" applyNumberFormat="1" applyFont="1" applyFill="1" applyBorder="1" applyAlignment="1">
      <alignment horizontal="center" vertical="center"/>
    </xf>
    <xf numFmtId="0" fontId="70" fillId="0" borderId="0" xfId="16" applyNumberFormat="1" applyFont="1" applyAlignment="1">
      <alignment vertical="center"/>
    </xf>
    <xf numFmtId="176" fontId="42" fillId="0" borderId="0" xfId="16" applyNumberFormat="1" applyFont="1" applyAlignment="1">
      <alignment vertical="center"/>
    </xf>
    <xf numFmtId="0" fontId="42" fillId="0" borderId="0" xfId="16" applyNumberFormat="1" applyFont="1" applyAlignment="1">
      <alignment vertical="center"/>
    </xf>
    <xf numFmtId="176" fontId="54" fillId="0" borderId="0" xfId="7" applyNumberFormat="1" applyFont="1" applyFill="1" applyBorder="1" applyAlignment="1">
      <alignment vertical="center"/>
    </xf>
    <xf numFmtId="176" fontId="42" fillId="0" borderId="0" xfId="10" applyNumberFormat="1" applyFont="1" applyFill="1" applyBorder="1" applyAlignment="1">
      <alignment horizontal="center" vertical="center"/>
    </xf>
    <xf numFmtId="0" fontId="79" fillId="0" borderId="0" xfId="16" applyFont="1" applyAlignment="1">
      <alignment vertical="center"/>
    </xf>
    <xf numFmtId="0" fontId="59" fillId="0" borderId="0" xfId="16" applyFont="1" applyAlignment="1">
      <alignment vertical="center"/>
    </xf>
    <xf numFmtId="177" fontId="55" fillId="0" borderId="0" xfId="0" applyNumberFormat="1" applyFont="1" applyBorder="1">
      <alignment vertical="center"/>
    </xf>
    <xf numFmtId="0" fontId="42" fillId="0" borderId="123" xfId="17" applyNumberFormat="1" applyFont="1" applyFill="1" applyBorder="1" applyAlignment="1">
      <alignment horizontal="left" vertical="center" shrinkToFit="1"/>
    </xf>
    <xf numFmtId="0" fontId="55" fillId="0" borderId="149" xfId="18" applyNumberFormat="1" applyFont="1" applyFill="1" applyBorder="1" applyAlignment="1">
      <alignment vertical="center" shrinkToFit="1"/>
    </xf>
    <xf numFmtId="41" fontId="42" fillId="0" borderId="123" xfId="18" applyNumberFormat="1" applyFont="1" applyFill="1" applyBorder="1" applyAlignment="1">
      <alignment horizontal="left" vertical="center" shrinkToFit="1"/>
    </xf>
    <xf numFmtId="0" fontId="55" fillId="0" borderId="0" xfId="18" applyNumberFormat="1" applyFont="1" applyFill="1" applyBorder="1" applyAlignment="1">
      <alignment vertical="center" shrinkToFit="1"/>
    </xf>
    <xf numFmtId="0" fontId="42" fillId="0" borderId="0" xfId="18" applyNumberFormat="1" applyFont="1" applyFill="1" applyBorder="1" applyAlignment="1">
      <alignment vertical="center" shrinkToFit="1"/>
    </xf>
    <xf numFmtId="38" fontId="52" fillId="0" borderId="121" xfId="16" applyNumberFormat="1" applyFont="1" applyFill="1" applyBorder="1" applyAlignment="1">
      <alignment vertical="center" shrinkToFit="1"/>
    </xf>
    <xf numFmtId="177" fontId="52" fillId="0" borderId="29" xfId="0" applyNumberFormat="1" applyFont="1" applyBorder="1">
      <alignment vertical="center"/>
    </xf>
    <xf numFmtId="177" fontId="52" fillId="0" borderId="148" xfId="0" applyNumberFormat="1" applyFont="1" applyBorder="1">
      <alignment vertical="center"/>
    </xf>
    <xf numFmtId="0" fontId="52" fillId="0" borderId="149" xfId="20" applyFont="1" applyFill="1" applyBorder="1" applyAlignment="1">
      <alignment horizontal="left" vertical="center" shrinkToFit="1"/>
    </xf>
    <xf numFmtId="41" fontId="59" fillId="0" borderId="149" xfId="18" applyNumberFormat="1" applyFont="1" applyFill="1" applyBorder="1" applyAlignment="1">
      <alignment vertical="center"/>
    </xf>
    <xf numFmtId="0" fontId="42" fillId="0" borderId="0" xfId="16" applyNumberFormat="1" applyFont="1" applyFill="1" applyBorder="1" applyAlignment="1">
      <alignment horizontal="justify" vertical="center" wrapText="1"/>
    </xf>
    <xf numFmtId="0" fontId="55" fillId="0" borderId="121" xfId="5" applyFont="1" applyBorder="1" applyAlignment="1">
      <alignment vertical="center" shrinkToFit="1"/>
    </xf>
    <xf numFmtId="177" fontId="55" fillId="0" borderId="119" xfId="0" applyNumberFormat="1" applyFont="1" applyBorder="1">
      <alignment vertical="center"/>
    </xf>
    <xf numFmtId="41" fontId="52" fillId="0" borderId="150" xfId="0" applyNumberFormat="1" applyFont="1" applyBorder="1">
      <alignment vertical="center"/>
    </xf>
    <xf numFmtId="0" fontId="42" fillId="0" borderId="123" xfId="5" quotePrefix="1" applyNumberFormat="1" applyFont="1" applyFill="1" applyBorder="1" applyAlignment="1">
      <alignment horizontal="justify" vertical="center" wrapText="1"/>
    </xf>
    <xf numFmtId="0" fontId="55" fillId="0" borderId="149" xfId="18" applyNumberFormat="1" applyFont="1" applyFill="1" applyBorder="1" applyAlignment="1">
      <alignment horizontal="left" vertical="center"/>
    </xf>
    <xf numFmtId="0" fontId="42" fillId="0" borderId="121" xfId="7" applyNumberFormat="1" applyFont="1" applyFill="1" applyBorder="1" applyAlignment="1">
      <alignment horizontal="left" vertical="center"/>
    </xf>
    <xf numFmtId="0" fontId="54" fillId="0" borderId="149" xfId="18" applyNumberFormat="1" applyFont="1" applyFill="1" applyBorder="1" applyAlignment="1">
      <alignment vertical="center" shrinkToFit="1"/>
    </xf>
    <xf numFmtId="0" fontId="54" fillId="0" borderId="0" xfId="18" applyNumberFormat="1" applyFont="1" applyFill="1" applyBorder="1" applyAlignment="1">
      <alignment vertical="center" shrinkToFit="1"/>
    </xf>
    <xf numFmtId="41" fontId="42" fillId="0" borderId="0" xfId="17" applyNumberFormat="1" applyFont="1" applyFill="1" applyBorder="1" applyAlignment="1">
      <alignment horizontal="left" vertical="center" shrinkToFit="1"/>
    </xf>
    <xf numFmtId="38" fontId="42" fillId="0" borderId="121" xfId="16" applyNumberFormat="1" applyFont="1" applyFill="1" applyBorder="1" applyAlignment="1">
      <alignment vertical="center" shrinkToFit="1"/>
    </xf>
    <xf numFmtId="0" fontId="54" fillId="0" borderId="149" xfId="5" applyNumberFormat="1" applyFont="1" applyFill="1" applyBorder="1" applyAlignment="1">
      <alignment vertical="center" shrinkToFit="1"/>
    </xf>
    <xf numFmtId="0" fontId="42" fillId="0" borderId="150" xfId="16" applyNumberFormat="1" applyFont="1" applyFill="1" applyBorder="1" applyAlignment="1">
      <alignment vertical="center"/>
    </xf>
    <xf numFmtId="0" fontId="52" fillId="0" borderId="0" xfId="17" applyNumberFormat="1" applyFont="1" applyFill="1" applyBorder="1" applyAlignment="1">
      <alignment horizontal="left" vertical="center" shrinkToFit="1"/>
    </xf>
    <xf numFmtId="0" fontId="42" fillId="0" borderId="123" xfId="16" applyNumberFormat="1" applyFont="1" applyFill="1" applyBorder="1" applyAlignment="1">
      <alignment vertical="center"/>
    </xf>
    <xf numFmtId="0" fontId="42" fillId="0" borderId="0" xfId="5" quotePrefix="1" applyNumberFormat="1" applyFont="1" applyFill="1" applyBorder="1" applyAlignment="1">
      <alignment horizontal="justify" vertical="center"/>
    </xf>
    <xf numFmtId="0" fontId="42" fillId="0" borderId="149" xfId="20" applyNumberFormat="1" applyFont="1" applyFill="1" applyBorder="1" applyAlignment="1">
      <alignment horizontal="left" vertical="center" shrinkToFit="1"/>
    </xf>
    <xf numFmtId="41" fontId="42" fillId="0" borderId="123" xfId="17" applyNumberFormat="1" applyFont="1" applyFill="1" applyBorder="1" applyAlignment="1">
      <alignment horizontal="left" vertical="center" shrinkToFit="1"/>
    </xf>
    <xf numFmtId="0" fontId="42" fillId="0" borderId="149" xfId="5" applyNumberFormat="1" applyFont="1" applyFill="1" applyBorder="1" applyAlignment="1">
      <alignment horizontal="center" vertical="center"/>
    </xf>
    <xf numFmtId="41" fontId="42" fillId="0" borderId="149" xfId="18" applyNumberFormat="1" applyFont="1" applyFill="1" applyBorder="1" applyAlignment="1">
      <alignment vertical="center"/>
    </xf>
    <xf numFmtId="0" fontId="54" fillId="0" borderId="149" xfId="18" applyNumberFormat="1" applyFont="1" applyFill="1" applyBorder="1" applyAlignment="1">
      <alignment horizontal="left" vertical="center"/>
    </xf>
    <xf numFmtId="0" fontId="52" fillId="0" borderId="0" xfId="16" applyNumberFormat="1" applyFont="1" applyFill="1" applyBorder="1" applyAlignment="1">
      <alignment horizontal="justify" vertical="center"/>
    </xf>
    <xf numFmtId="0" fontId="52" fillId="0" borderId="150" xfId="0" applyFont="1" applyBorder="1">
      <alignment vertical="center"/>
    </xf>
    <xf numFmtId="180" fontId="29" fillId="0" borderId="0" xfId="4" applyNumberFormat="1" applyFont="1" applyAlignment="1">
      <alignment vertical="center"/>
    </xf>
    <xf numFmtId="0" fontId="51" fillId="0" borderId="0" xfId="4" applyFont="1" applyAlignment="1">
      <alignment vertical="center"/>
    </xf>
    <xf numFmtId="41" fontId="36" fillId="0" borderId="0" xfId="3" applyFont="1" applyAlignment="1">
      <alignment vertical="center"/>
    </xf>
    <xf numFmtId="41" fontId="52" fillId="0" borderId="0" xfId="3" applyFont="1" applyAlignment="1">
      <alignment vertical="center"/>
    </xf>
    <xf numFmtId="41" fontId="53" fillId="0" borderId="0" xfId="3" applyFont="1" applyAlignment="1">
      <alignment horizontal="center" vertical="center"/>
    </xf>
    <xf numFmtId="41" fontId="51" fillId="0" borderId="113" xfId="7" applyFont="1" applyBorder="1" applyAlignment="1">
      <alignment horizontal="right" vertical="center"/>
    </xf>
    <xf numFmtId="0" fontId="42" fillId="4" borderId="13" xfId="6" applyFont="1" applyFill="1" applyBorder="1" applyAlignment="1">
      <alignment horizontal="center" vertical="center"/>
    </xf>
    <xf numFmtId="0" fontId="59" fillId="4" borderId="46" xfId="4" applyFont="1" applyFill="1" applyBorder="1" applyAlignment="1">
      <alignment horizontal="center" vertical="center"/>
    </xf>
    <xf numFmtId="0" fontId="59" fillId="4" borderId="15" xfId="4" applyFont="1" applyFill="1" applyBorder="1" applyAlignment="1">
      <alignment horizontal="center" vertical="center"/>
    </xf>
    <xf numFmtId="0" fontId="54" fillId="0" borderId="7" xfId="6" applyFont="1" applyBorder="1" applyAlignment="1">
      <alignment vertical="center"/>
    </xf>
    <xf numFmtId="0" fontId="54" fillId="0" borderId="125" xfId="6" applyFont="1" applyBorder="1" applyAlignment="1">
      <alignment vertical="center"/>
    </xf>
    <xf numFmtId="0" fontId="54" fillId="0" borderId="143" xfId="6" applyFont="1" applyBorder="1" applyAlignment="1">
      <alignment vertical="center"/>
    </xf>
    <xf numFmtId="0" fontId="54" fillId="0" borderId="101" xfId="6" applyFont="1" applyBorder="1" applyAlignment="1">
      <alignment vertical="center"/>
    </xf>
    <xf numFmtId="0" fontId="42" fillId="0" borderId="26" xfId="6" applyFont="1" applyBorder="1" applyAlignment="1">
      <alignment vertical="center"/>
    </xf>
    <xf numFmtId="0" fontId="54" fillId="0" borderId="5" xfId="6" applyFont="1" applyBorder="1" applyAlignment="1">
      <alignment vertical="center"/>
    </xf>
    <xf numFmtId="0" fontId="54" fillId="0" borderId="120" xfId="6" applyFont="1" applyBorder="1" applyAlignment="1">
      <alignment vertical="center"/>
    </xf>
    <xf numFmtId="0" fontId="54" fillId="0" borderId="121" xfId="6" applyFont="1" applyBorder="1" applyAlignment="1">
      <alignment vertical="center"/>
    </xf>
    <xf numFmtId="0" fontId="54" fillId="0" borderId="30" xfId="6" applyFont="1" applyBorder="1" applyAlignment="1">
      <alignment vertical="center"/>
    </xf>
    <xf numFmtId="0" fontId="42" fillId="0" borderId="124" xfId="6" applyFont="1" applyBorder="1" applyAlignment="1">
      <alignment vertical="center"/>
    </xf>
    <xf numFmtId="0" fontId="42" fillId="0" borderId="118" xfId="6" applyFont="1" applyBorder="1" applyAlignment="1">
      <alignment vertical="center"/>
    </xf>
    <xf numFmtId="180" fontId="38" fillId="5" borderId="121" xfId="5" applyNumberFormat="1" applyFont="1" applyFill="1" applyBorder="1">
      <alignment vertical="center"/>
    </xf>
    <xf numFmtId="0" fontId="42" fillId="0" borderId="37" xfId="6" applyFont="1" applyBorder="1" applyAlignment="1">
      <alignment vertical="center"/>
    </xf>
    <xf numFmtId="0" fontId="42" fillId="0" borderId="119" xfId="6" applyFont="1" applyBorder="1" applyAlignment="1">
      <alignment vertical="center"/>
    </xf>
    <xf numFmtId="0" fontId="36" fillId="0" borderId="37" xfId="4" applyFont="1" applyBorder="1" applyAlignment="1">
      <alignment vertical="center"/>
    </xf>
    <xf numFmtId="0" fontId="52" fillId="5" borderId="37" xfId="4" applyFont="1" applyFill="1" applyBorder="1" applyAlignment="1">
      <alignment vertical="center"/>
    </xf>
    <xf numFmtId="0" fontId="52" fillId="5" borderId="121" xfId="4" applyFont="1" applyFill="1" applyBorder="1" applyAlignment="1">
      <alignment vertical="center"/>
    </xf>
    <xf numFmtId="0" fontId="55" fillId="5" borderId="30" xfId="4" applyFont="1" applyFill="1" applyBorder="1" applyAlignment="1">
      <alignment vertical="center"/>
    </xf>
    <xf numFmtId="0" fontId="25" fillId="0" borderId="37" xfId="4" applyFont="1" applyBorder="1" applyAlignment="1">
      <alignment vertical="center"/>
    </xf>
    <xf numFmtId="0" fontId="37" fillId="5" borderId="122" xfId="4" applyFont="1" applyFill="1" applyBorder="1" applyAlignment="1">
      <alignment vertical="center"/>
    </xf>
    <xf numFmtId="0" fontId="37" fillId="5" borderId="29" xfId="4" applyFont="1" applyFill="1" applyBorder="1" applyAlignment="1">
      <alignment vertical="center"/>
    </xf>
    <xf numFmtId="0" fontId="36" fillId="0" borderId="36" xfId="4" applyFont="1" applyBorder="1" applyAlignment="1">
      <alignment vertical="center"/>
    </xf>
    <xf numFmtId="0" fontId="37" fillId="5" borderId="36" xfId="4" applyFont="1" applyFill="1" applyBorder="1" applyAlignment="1">
      <alignment vertical="center"/>
    </xf>
    <xf numFmtId="0" fontId="51" fillId="0" borderId="124" xfId="4" applyFont="1" applyBorder="1" applyAlignment="1">
      <alignment vertical="center"/>
    </xf>
    <xf numFmtId="0" fontId="51" fillId="0" borderId="37" xfId="4" applyFont="1" applyBorder="1" applyAlignment="1">
      <alignment vertical="center"/>
    </xf>
    <xf numFmtId="0" fontId="52" fillId="5" borderId="37" xfId="4" applyFont="1" applyFill="1" applyBorder="1" applyAlignment="1">
      <alignment vertical="center" wrapText="1"/>
    </xf>
    <xf numFmtId="0" fontId="52" fillId="5" borderId="36" xfId="4" applyFont="1" applyFill="1" applyBorder="1" applyAlignment="1">
      <alignment vertical="center" wrapText="1"/>
    </xf>
    <xf numFmtId="0" fontId="52" fillId="5" borderId="36" xfId="4" applyFont="1" applyFill="1" applyBorder="1" applyAlignment="1">
      <alignment vertical="center"/>
    </xf>
    <xf numFmtId="0" fontId="52" fillId="5" borderId="118" xfId="4" applyFont="1" applyFill="1" applyBorder="1" applyAlignment="1">
      <alignment vertical="center"/>
    </xf>
    <xf numFmtId="0" fontId="52" fillId="5" borderId="37" xfId="4" applyFont="1" applyFill="1" applyBorder="1" applyAlignment="1">
      <alignment vertical="top"/>
    </xf>
    <xf numFmtId="0" fontId="52" fillId="5" borderId="36" xfId="4" applyFont="1" applyFill="1" applyBorder="1" applyAlignment="1">
      <alignment vertical="top"/>
    </xf>
    <xf numFmtId="0" fontId="52" fillId="5" borderId="16" xfId="4" applyFont="1" applyFill="1" applyBorder="1" applyAlignment="1">
      <alignment vertical="center"/>
    </xf>
    <xf numFmtId="0" fontId="52" fillId="0" borderId="37" xfId="4" applyFont="1" applyBorder="1" applyAlignment="1">
      <alignment vertical="center"/>
    </xf>
    <xf numFmtId="0" fontId="52" fillId="5" borderId="5" xfId="4" applyFont="1" applyFill="1" applyBorder="1" applyAlignment="1">
      <alignment vertical="center"/>
    </xf>
    <xf numFmtId="0" fontId="52" fillId="5" borderId="30" xfId="4" applyFont="1" applyFill="1" applyBorder="1" applyAlignment="1">
      <alignment vertical="center"/>
    </xf>
    <xf numFmtId="0" fontId="52" fillId="5" borderId="119" xfId="4" applyFont="1" applyFill="1" applyBorder="1" applyAlignment="1">
      <alignment vertical="center"/>
    </xf>
    <xf numFmtId="0" fontId="52" fillId="5" borderId="29" xfId="4" applyFont="1" applyFill="1" applyBorder="1" applyAlignment="1">
      <alignment vertical="center" wrapText="1"/>
    </xf>
    <xf numFmtId="0" fontId="52" fillId="5" borderId="29" xfId="4" applyFont="1" applyFill="1" applyBorder="1" applyAlignment="1">
      <alignment vertical="center"/>
    </xf>
    <xf numFmtId="0" fontId="42" fillId="0" borderId="36" xfId="6" applyFont="1" applyBorder="1" applyAlignment="1">
      <alignment vertical="center"/>
    </xf>
    <xf numFmtId="0" fontId="52" fillId="5" borderId="147" xfId="4" applyFont="1" applyFill="1" applyBorder="1" applyAlignment="1">
      <alignment vertical="center"/>
    </xf>
    <xf numFmtId="0" fontId="36" fillId="5" borderId="124" xfId="4" applyFont="1" applyFill="1" applyBorder="1" applyAlignment="1">
      <alignment vertical="center"/>
    </xf>
    <xf numFmtId="0" fontId="36" fillId="5" borderId="37" xfId="4" applyFont="1" applyFill="1" applyBorder="1" applyAlignment="1">
      <alignment vertical="center"/>
    </xf>
    <xf numFmtId="0" fontId="36" fillId="5" borderId="36" xfId="4" applyFont="1" applyFill="1" applyBorder="1" applyAlignment="1">
      <alignment vertical="center"/>
    </xf>
    <xf numFmtId="0" fontId="52" fillId="5" borderId="118" xfId="4" applyFont="1" applyFill="1" applyBorder="1" applyAlignment="1">
      <alignment vertical="top"/>
    </xf>
    <xf numFmtId="0" fontId="52" fillId="5" borderId="147" xfId="4" applyFont="1" applyFill="1" applyBorder="1" applyAlignment="1">
      <alignment vertical="top" wrapText="1"/>
    </xf>
    <xf numFmtId="0" fontId="52" fillId="5" borderId="147" xfId="4" applyFont="1" applyFill="1" applyBorder="1" applyAlignment="1">
      <alignment horizontal="left" vertical="top" wrapText="1"/>
    </xf>
    <xf numFmtId="0" fontId="52" fillId="5" borderId="37" xfId="4" applyFont="1" applyFill="1" applyBorder="1" applyAlignment="1">
      <alignment horizontal="left" vertical="top" wrapText="1"/>
    </xf>
    <xf numFmtId="0" fontId="55" fillId="5" borderId="37" xfId="4" applyFont="1" applyFill="1" applyBorder="1" applyAlignment="1">
      <alignment horizontal="left" vertical="center"/>
    </xf>
    <xf numFmtId="0" fontId="55" fillId="5" borderId="147" xfId="4" applyFont="1" applyFill="1" applyBorder="1" applyAlignment="1">
      <alignment horizontal="left" vertical="center"/>
    </xf>
    <xf numFmtId="0" fontId="55" fillId="5" borderId="36" xfId="4" applyFont="1" applyFill="1" applyBorder="1" applyAlignment="1">
      <alignment horizontal="left" vertical="center"/>
    </xf>
    <xf numFmtId="0" fontId="52" fillId="5" borderId="37" xfId="4" applyFont="1" applyFill="1" applyBorder="1" applyAlignment="1">
      <alignment horizontal="left" vertical="top"/>
    </xf>
    <xf numFmtId="0" fontId="52" fillId="5" borderId="147" xfId="4" applyFont="1" applyFill="1" applyBorder="1" applyAlignment="1">
      <alignment horizontal="left" vertical="top"/>
    </xf>
    <xf numFmtId="0" fontId="52" fillId="5" borderId="36" xfId="4" applyFont="1" applyFill="1" applyBorder="1" applyAlignment="1">
      <alignment horizontal="left" vertical="top"/>
    </xf>
    <xf numFmtId="0" fontId="54" fillId="0" borderId="37" xfId="6" applyFont="1" applyBorder="1" applyAlignment="1">
      <alignment vertical="center"/>
    </xf>
    <xf numFmtId="0" fontId="54" fillId="0" borderId="118" xfId="6" applyFont="1" applyBorder="1" applyAlignment="1">
      <alignment vertical="center"/>
    </xf>
    <xf numFmtId="0" fontId="59" fillId="0" borderId="26" xfId="4" applyFont="1" applyBorder="1" applyAlignment="1">
      <alignment vertical="center"/>
    </xf>
    <xf numFmtId="0" fontId="59" fillId="0" borderId="37" xfId="4" applyFont="1" applyBorder="1" applyAlignment="1">
      <alignment vertical="center"/>
    </xf>
    <xf numFmtId="0" fontId="59" fillId="0" borderId="118" xfId="4" applyFont="1" applyBorder="1" applyAlignment="1">
      <alignment vertical="center"/>
    </xf>
    <xf numFmtId="0" fontId="59" fillId="0" borderId="5" xfId="4" applyFont="1" applyBorder="1" applyAlignment="1">
      <alignment vertical="center"/>
    </xf>
    <xf numFmtId="0" fontId="59" fillId="0" borderId="37" xfId="4" applyFont="1" applyBorder="1" applyAlignment="1">
      <alignment vertical="top"/>
    </xf>
    <xf numFmtId="0" fontId="59" fillId="5" borderId="118" xfId="4" applyFont="1" applyFill="1" applyBorder="1" applyAlignment="1">
      <alignment vertical="center" shrinkToFit="1"/>
    </xf>
    <xf numFmtId="0" fontId="59" fillId="5" borderId="37" xfId="4" applyFont="1" applyFill="1" applyBorder="1" applyAlignment="1">
      <alignment vertical="center" shrinkToFit="1"/>
    </xf>
    <xf numFmtId="0" fontId="59" fillId="5" borderId="36" xfId="4" applyFont="1" applyFill="1" applyBorder="1" applyAlignment="1">
      <alignment vertical="center" shrinkToFit="1"/>
    </xf>
    <xf numFmtId="0" fontId="59" fillId="0" borderId="16" xfId="4" applyFont="1" applyBorder="1" applyAlignment="1">
      <alignment vertical="center"/>
    </xf>
    <xf numFmtId="0" fontId="59" fillId="0" borderId="16" xfId="4" applyFont="1" applyBorder="1" applyAlignment="1">
      <alignment vertical="top"/>
    </xf>
    <xf numFmtId="0" fontId="59" fillId="0" borderId="118" xfId="4" applyFont="1" applyBorder="1" applyAlignment="1">
      <alignment vertical="center" shrinkToFit="1"/>
    </xf>
    <xf numFmtId="0" fontId="59" fillId="0" borderId="37" xfId="4" applyFont="1" applyBorder="1" applyAlignment="1">
      <alignment vertical="center" shrinkToFit="1"/>
    </xf>
    <xf numFmtId="0" fontId="59" fillId="0" borderId="22" xfId="4" applyFont="1" applyBorder="1" applyAlignment="1">
      <alignment vertical="center"/>
    </xf>
    <xf numFmtId="0" fontId="59" fillId="0" borderId="23" xfId="4" applyFont="1" applyBorder="1" applyAlignment="1">
      <alignment vertical="center"/>
    </xf>
    <xf numFmtId="0" fontId="59" fillId="0" borderId="23" xfId="4" applyFont="1" applyBorder="1" applyAlignment="1">
      <alignment vertical="top"/>
    </xf>
    <xf numFmtId="0" fontId="59" fillId="0" borderId="23" xfId="4" applyFont="1" applyBorder="1" applyAlignment="1">
      <alignment vertical="center" shrinkToFit="1"/>
    </xf>
    <xf numFmtId="0" fontId="55" fillId="5" borderId="149" xfId="4" applyFont="1" applyFill="1" applyBorder="1" applyAlignment="1">
      <alignment vertical="center" shrinkToFit="1"/>
    </xf>
    <xf numFmtId="0" fontId="52" fillId="5" borderId="149" xfId="4" quotePrefix="1" applyFont="1" applyFill="1" applyBorder="1" applyAlignment="1">
      <alignment horizontal="center" vertical="center"/>
    </xf>
    <xf numFmtId="176" fontId="52" fillId="5" borderId="0" xfId="3" applyNumberFormat="1" applyFont="1" applyFill="1" applyBorder="1" applyAlignment="1">
      <alignment vertical="center" shrinkToFit="1"/>
    </xf>
    <xf numFmtId="176" fontId="52" fillId="5" borderId="0" xfId="3" applyNumberFormat="1" applyFont="1" applyFill="1" applyBorder="1" applyAlignment="1">
      <alignment vertical="center"/>
    </xf>
    <xf numFmtId="49" fontId="37" fillId="5" borderId="0" xfId="3" applyNumberFormat="1" applyFont="1" applyFill="1" applyBorder="1" applyAlignment="1">
      <alignment vertical="center"/>
    </xf>
    <xf numFmtId="0" fontId="52" fillId="5" borderId="123" xfId="4" quotePrefix="1" applyFont="1" applyFill="1" applyBorder="1" applyAlignment="1">
      <alignment horizontal="center" vertical="center"/>
    </xf>
    <xf numFmtId="176" fontId="52" fillId="5" borderId="0" xfId="4" applyNumberFormat="1" applyFont="1" applyFill="1" applyAlignment="1">
      <alignment vertical="center" shrinkToFit="1"/>
    </xf>
    <xf numFmtId="0" fontId="55" fillId="5" borderId="148" xfId="4" applyFont="1" applyFill="1" applyBorder="1" applyAlignment="1">
      <alignment vertical="center" shrinkToFit="1"/>
    </xf>
    <xf numFmtId="0" fontId="52" fillId="5" borderId="121" xfId="4" applyFont="1" applyFill="1" applyBorder="1" applyAlignment="1">
      <alignment vertical="center" shrinkToFit="1"/>
    </xf>
    <xf numFmtId="0" fontId="52" fillId="5" borderId="121" xfId="4" quotePrefix="1" applyFont="1" applyFill="1" applyBorder="1" applyAlignment="1">
      <alignment horizontal="center" vertical="center"/>
    </xf>
    <xf numFmtId="176" fontId="52" fillId="5" borderId="123" xfId="4" applyNumberFormat="1" applyFont="1" applyFill="1" applyBorder="1" applyAlignment="1">
      <alignment vertical="center" shrinkToFit="1"/>
    </xf>
    <xf numFmtId="176" fontId="52" fillId="5" borderId="123" xfId="4" applyNumberFormat="1" applyFont="1" applyFill="1" applyBorder="1" applyAlignment="1">
      <alignment horizontal="center" vertical="center" shrinkToFit="1"/>
    </xf>
    <xf numFmtId="176" fontId="52" fillId="5" borderId="149" xfId="4" applyNumberFormat="1" applyFont="1" applyFill="1" applyBorder="1" applyAlignment="1">
      <alignment horizontal="center" vertical="center"/>
    </xf>
    <xf numFmtId="176" fontId="52" fillId="5" borderId="123" xfId="3" applyNumberFormat="1" applyFont="1" applyFill="1" applyBorder="1" applyAlignment="1">
      <alignment vertical="center" shrinkToFit="1"/>
    </xf>
    <xf numFmtId="176" fontId="52" fillId="5" borderId="123" xfId="4" applyNumberFormat="1" applyFont="1" applyFill="1" applyBorder="1" applyAlignment="1">
      <alignment horizontal="center" vertical="center"/>
    </xf>
    <xf numFmtId="0" fontId="37" fillId="5" borderId="121" xfId="3" applyNumberFormat="1" applyFont="1" applyFill="1" applyBorder="1" applyAlignment="1">
      <alignment horizontal="center" vertical="center"/>
    </xf>
    <xf numFmtId="0" fontId="55" fillId="5" borderId="123" xfId="4" applyFont="1" applyFill="1" applyBorder="1" applyAlignment="1">
      <alignment vertical="center" shrinkToFit="1"/>
    </xf>
    <xf numFmtId="0" fontId="55" fillId="5" borderId="0" xfId="4" applyFont="1" applyFill="1" applyBorder="1" applyAlignment="1">
      <alignment vertical="center" shrinkToFit="1"/>
    </xf>
    <xf numFmtId="0" fontId="52" fillId="5" borderId="0" xfId="4" quotePrefix="1" applyFont="1" applyFill="1" applyBorder="1" applyAlignment="1">
      <alignment horizontal="center" vertical="center"/>
    </xf>
    <xf numFmtId="0" fontId="52" fillId="5" borderId="121" xfId="4" applyFont="1" applyFill="1" applyBorder="1" applyAlignment="1">
      <alignment horizontal="center" vertical="center" shrinkToFit="1"/>
    </xf>
    <xf numFmtId="0" fontId="37" fillId="5" borderId="0" xfId="4" applyFont="1" applyFill="1" applyAlignment="1">
      <alignment vertical="center"/>
    </xf>
    <xf numFmtId="41" fontId="52" fillId="0" borderId="143" xfId="7" applyFont="1" applyBorder="1" applyAlignment="1">
      <alignment horizontal="left" vertical="center"/>
    </xf>
    <xf numFmtId="41" fontId="52" fillId="0" borderId="143" xfId="7" applyFont="1" applyBorder="1" applyAlignment="1">
      <alignment horizontal="center" vertical="center"/>
    </xf>
    <xf numFmtId="41" fontId="52" fillId="0" borderId="123" xfId="7" applyFont="1" applyBorder="1" applyAlignment="1">
      <alignment horizontal="left" vertical="center"/>
    </xf>
    <xf numFmtId="41" fontId="52" fillId="0" borderId="123" xfId="7" applyFont="1" applyBorder="1" applyAlignment="1">
      <alignment horizontal="center" vertical="center"/>
    </xf>
    <xf numFmtId="0" fontId="55" fillId="0" borderId="121" xfId="6" applyFont="1" applyBorder="1" applyAlignment="1">
      <alignment horizontal="left" vertical="center" shrinkToFit="1"/>
    </xf>
    <xf numFmtId="0" fontId="55" fillId="0" borderId="121" xfId="6" applyFont="1" applyBorder="1" applyAlignment="1">
      <alignment horizontal="center" vertical="center"/>
    </xf>
    <xf numFmtId="0" fontId="37" fillId="5" borderId="149" xfId="3" quotePrefix="1" applyNumberFormat="1" applyFont="1" applyFill="1" applyBorder="1" applyAlignment="1">
      <alignment horizontal="center" vertical="center"/>
    </xf>
    <xf numFmtId="180" fontId="52" fillId="5" borderId="0" xfId="4" applyNumberFormat="1" applyFont="1" applyFill="1" applyAlignment="1">
      <alignment vertical="center" shrinkToFit="1"/>
    </xf>
    <xf numFmtId="41" fontId="53" fillId="0" borderId="121" xfId="7" applyFont="1" applyBorder="1" applyAlignment="1">
      <alignment horizontal="center" vertical="center"/>
    </xf>
    <xf numFmtId="0" fontId="59" fillId="0" borderId="0" xfId="4" applyFont="1" applyAlignment="1">
      <alignment vertical="center"/>
    </xf>
    <xf numFmtId="180" fontId="52" fillId="5" borderId="0" xfId="5" applyNumberFormat="1" applyFont="1" applyFill="1">
      <alignment vertical="center"/>
    </xf>
    <xf numFmtId="41" fontId="52" fillId="0" borderId="147" xfId="3" applyFont="1" applyBorder="1" applyAlignment="1">
      <alignment vertical="center"/>
    </xf>
    <xf numFmtId="41" fontId="52" fillId="0" borderId="0" xfId="3" applyFont="1" applyBorder="1" applyAlignment="1">
      <alignment horizontal="center" vertical="center"/>
    </xf>
    <xf numFmtId="41" fontId="52" fillId="0" borderId="126" xfId="3" applyFont="1" applyBorder="1" applyAlignment="1">
      <alignment vertical="center"/>
    </xf>
    <xf numFmtId="41" fontId="52" fillId="0" borderId="113" xfId="3" applyFont="1" applyBorder="1" applyAlignment="1">
      <alignment horizontal="center" vertical="center"/>
    </xf>
    <xf numFmtId="0" fontId="36" fillId="0" borderId="0" xfId="4" applyFont="1" applyBorder="1" applyAlignment="1">
      <alignment vertical="center"/>
    </xf>
    <xf numFmtId="0" fontId="37" fillId="5" borderId="0" xfId="4" quotePrefix="1" applyFont="1" applyFill="1" applyBorder="1" applyAlignment="1">
      <alignment horizontal="center" vertical="center"/>
    </xf>
    <xf numFmtId="0" fontId="37" fillId="5" borderId="0" xfId="4" applyFont="1" applyFill="1" applyBorder="1" applyAlignment="1">
      <alignment vertical="center" shrinkToFit="1"/>
    </xf>
    <xf numFmtId="0" fontId="51" fillId="0" borderId="0" xfId="4" applyFont="1" applyBorder="1" applyAlignment="1">
      <alignment vertical="center"/>
    </xf>
    <xf numFmtId="0" fontId="52" fillId="5" borderId="0" xfId="4" applyFont="1" applyFill="1" applyBorder="1" applyAlignment="1">
      <alignment horizontal="center" vertical="center"/>
    </xf>
    <xf numFmtId="0" fontId="37" fillId="5" borderId="0" xfId="4" applyFont="1" applyFill="1" applyBorder="1" applyAlignment="1">
      <alignment horizontal="center" vertical="center"/>
    </xf>
    <xf numFmtId="176" fontId="52" fillId="5" borderId="0" xfId="4" applyNumberFormat="1" applyFont="1" applyFill="1" applyBorder="1" applyAlignment="1">
      <alignment horizontal="center" vertical="center"/>
    </xf>
    <xf numFmtId="176" fontId="52" fillId="5" borderId="0" xfId="4" quotePrefix="1" applyNumberFormat="1" applyFont="1" applyFill="1" applyBorder="1" applyAlignment="1">
      <alignment horizontal="center" vertical="center"/>
    </xf>
    <xf numFmtId="176" fontId="52" fillId="5" borderId="0" xfId="4" applyNumberFormat="1" applyFont="1" applyFill="1" applyBorder="1" applyAlignment="1">
      <alignment vertical="center" shrinkToFit="1"/>
    </xf>
    <xf numFmtId="0" fontId="52" fillId="5" borderId="0" xfId="4" applyFont="1" applyFill="1" applyBorder="1" applyAlignment="1">
      <alignment vertical="top"/>
    </xf>
    <xf numFmtId="0" fontId="52" fillId="5" borderId="0" xfId="4" applyFont="1" applyFill="1" applyBorder="1" applyAlignment="1">
      <alignment vertical="center"/>
    </xf>
    <xf numFmtId="0" fontId="52" fillId="5" borderId="0" xfId="7" applyNumberFormat="1" applyFont="1" applyFill="1" applyBorder="1" applyAlignment="1">
      <alignment horizontal="left" vertical="center"/>
    </xf>
    <xf numFmtId="41" fontId="53" fillId="5" borderId="0" xfId="7" applyFont="1" applyFill="1" applyBorder="1" applyAlignment="1">
      <alignment horizontal="center" vertical="center"/>
    </xf>
    <xf numFmtId="0" fontId="25" fillId="0" borderId="0" xfId="4" applyFont="1" applyBorder="1" applyAlignment="1">
      <alignment vertical="center"/>
    </xf>
    <xf numFmtId="0" fontId="52" fillId="5" borderId="0" xfId="5" applyFont="1" applyFill="1" applyBorder="1" applyAlignment="1">
      <alignment vertical="center" shrinkToFit="1"/>
    </xf>
    <xf numFmtId="0" fontId="37" fillId="5" borderId="0" xfId="4" applyFont="1" applyFill="1" applyBorder="1" applyAlignment="1">
      <alignment vertical="center"/>
    </xf>
    <xf numFmtId="0" fontId="52" fillId="5" borderId="0" xfId="4" applyFont="1" applyFill="1" applyBorder="1" applyAlignment="1">
      <alignment horizontal="center" vertical="center" shrinkToFit="1"/>
    </xf>
    <xf numFmtId="0" fontId="55" fillId="5" borderId="0" xfId="4" applyFont="1" applyFill="1" applyBorder="1" applyAlignment="1">
      <alignment horizontal="left" vertical="center"/>
    </xf>
    <xf numFmtId="0" fontId="52" fillId="0" borderId="0" xfId="7" applyNumberFormat="1" applyFont="1" applyBorder="1" applyAlignment="1">
      <alignment horizontal="left" vertical="center"/>
    </xf>
    <xf numFmtId="41" fontId="53" fillId="0" borderId="0" xfId="7" applyFont="1" applyBorder="1" applyAlignment="1">
      <alignment horizontal="center" vertical="center"/>
    </xf>
    <xf numFmtId="180" fontId="52" fillId="5" borderId="0" xfId="4" applyNumberFormat="1" applyFont="1" applyFill="1" applyBorder="1" applyAlignment="1">
      <alignment vertical="center" shrinkToFit="1"/>
    </xf>
    <xf numFmtId="180" fontId="52" fillId="5" borderId="0" xfId="4" applyNumberFormat="1" applyFont="1" applyFill="1" applyBorder="1" applyAlignment="1">
      <alignment horizontal="center" vertical="center"/>
    </xf>
    <xf numFmtId="180" fontId="52" fillId="5" borderId="0" xfId="4" applyNumberFormat="1" applyFont="1" applyFill="1" applyBorder="1" applyAlignment="1">
      <alignment vertical="center"/>
    </xf>
    <xf numFmtId="0" fontId="59" fillId="0" borderId="0" xfId="4" applyFont="1" applyBorder="1" applyAlignment="1">
      <alignment vertical="center"/>
    </xf>
    <xf numFmtId="180" fontId="52" fillId="5" borderId="0" xfId="5" applyNumberFormat="1" applyFont="1" applyFill="1" applyBorder="1">
      <alignment vertical="center"/>
    </xf>
    <xf numFmtId="180" fontId="52" fillId="5" borderId="0" xfId="5" applyNumberFormat="1" applyFont="1" applyFill="1" applyBorder="1" applyAlignment="1">
      <alignment horizontal="center" vertical="center"/>
    </xf>
    <xf numFmtId="41" fontId="37" fillId="5" borderId="186" xfId="3" applyFont="1" applyFill="1" applyBorder="1" applyAlignment="1">
      <alignment vertical="center"/>
    </xf>
    <xf numFmtId="176" fontId="55" fillId="0" borderId="0" xfId="4" applyNumberFormat="1" applyFont="1" applyAlignment="1">
      <alignment vertical="center"/>
    </xf>
    <xf numFmtId="180" fontId="37" fillId="0" borderId="0" xfId="4" applyNumberFormat="1" applyFont="1" applyAlignment="1">
      <alignment vertical="center" shrinkToFit="1"/>
    </xf>
    <xf numFmtId="186" fontId="37" fillId="0" borderId="0" xfId="3" applyNumberFormat="1" applyFont="1" applyBorder="1" applyAlignment="1">
      <alignment vertical="center" shrinkToFit="1"/>
    </xf>
    <xf numFmtId="176" fontId="37" fillId="0" borderId="0" xfId="4" applyNumberFormat="1" applyFont="1" applyAlignment="1">
      <alignment vertical="center" shrinkToFit="1"/>
    </xf>
    <xf numFmtId="41" fontId="37" fillId="0" borderId="0" xfId="3" applyFont="1" applyBorder="1" applyAlignment="1">
      <alignment vertical="center" shrinkToFit="1"/>
    </xf>
    <xf numFmtId="187" fontId="25" fillId="0" borderId="0" xfId="4" applyNumberFormat="1" applyFont="1" applyAlignment="1">
      <alignment vertical="center"/>
    </xf>
    <xf numFmtId="41" fontId="40" fillId="5" borderId="39" xfId="3" applyFont="1" applyFill="1" applyBorder="1" applyAlignment="1">
      <alignment vertical="center"/>
    </xf>
    <xf numFmtId="176" fontId="52" fillId="5" borderId="0" xfId="4" applyNumberFormat="1" applyFont="1" applyFill="1" applyAlignment="1">
      <alignment vertical="center"/>
    </xf>
    <xf numFmtId="180" fontId="37" fillId="5" borderId="0" xfId="4" applyNumberFormat="1" applyFont="1" applyFill="1" applyAlignment="1">
      <alignment vertical="center" shrinkToFit="1"/>
    </xf>
    <xf numFmtId="186" fontId="37" fillId="5" borderId="0" xfId="3" applyNumberFormat="1" applyFont="1" applyFill="1" applyBorder="1" applyAlignment="1">
      <alignment vertical="center" shrinkToFit="1"/>
    </xf>
    <xf numFmtId="176" fontId="37" fillId="5" borderId="0" xfId="4" applyNumberFormat="1" applyFont="1" applyFill="1" applyAlignment="1">
      <alignment vertical="center" shrinkToFit="1"/>
    </xf>
    <xf numFmtId="41" fontId="37" fillId="5" borderId="39" xfId="3" applyFont="1" applyFill="1" applyBorder="1" applyAlignment="1">
      <alignment vertical="center"/>
    </xf>
    <xf numFmtId="186" fontId="52" fillId="5" borderId="0" xfId="3" applyNumberFormat="1" applyFont="1" applyFill="1" applyBorder="1" applyAlignment="1">
      <alignment vertical="center" shrinkToFit="1"/>
    </xf>
    <xf numFmtId="41" fontId="52" fillId="0" borderId="0" xfId="3" applyFont="1" applyBorder="1" applyAlignment="1">
      <alignment vertical="center" shrinkToFit="1"/>
    </xf>
    <xf numFmtId="187" fontId="53" fillId="0" borderId="0" xfId="4" applyNumberFormat="1" applyFont="1" applyAlignment="1">
      <alignment vertical="center"/>
    </xf>
    <xf numFmtId="176" fontId="37" fillId="5" borderId="39" xfId="3" applyNumberFormat="1" applyFont="1" applyFill="1" applyBorder="1" applyAlignment="1">
      <alignment vertical="center"/>
    </xf>
    <xf numFmtId="188" fontId="37" fillId="5" borderId="0" xfId="4" applyNumberFormat="1" applyFont="1" applyFill="1" applyAlignment="1">
      <alignment vertical="center" shrinkToFit="1"/>
    </xf>
    <xf numFmtId="176" fontId="37" fillId="5" borderId="0" xfId="4" applyNumberFormat="1" applyFont="1" applyFill="1" applyAlignment="1">
      <alignment vertical="center"/>
    </xf>
    <xf numFmtId="41" fontId="37" fillId="5" borderId="185" xfId="3" applyFont="1" applyFill="1" applyBorder="1" applyAlignment="1">
      <alignment vertical="center"/>
    </xf>
    <xf numFmtId="41" fontId="40" fillId="5" borderId="150" xfId="3" applyFont="1" applyFill="1" applyBorder="1" applyAlignment="1">
      <alignment vertical="center"/>
    </xf>
    <xf numFmtId="176" fontId="37" fillId="5" borderId="39" xfId="3" applyNumberFormat="1" applyFont="1" applyFill="1" applyBorder="1" applyAlignment="1">
      <alignment horizontal="left" vertical="center"/>
    </xf>
    <xf numFmtId="41" fontId="37" fillId="5" borderId="39" xfId="3" applyFont="1" applyFill="1" applyBorder="1" applyAlignment="1">
      <alignment vertical="center" shrinkToFit="1"/>
    </xf>
    <xf numFmtId="41" fontId="52" fillId="5" borderId="39" xfId="3" applyFont="1" applyFill="1" applyBorder="1" applyAlignment="1">
      <alignment horizontal="left" vertical="center"/>
    </xf>
    <xf numFmtId="41" fontId="40" fillId="5" borderId="81" xfId="3" applyFont="1" applyFill="1" applyBorder="1" applyAlignment="1">
      <alignment vertical="center"/>
    </xf>
    <xf numFmtId="41" fontId="52" fillId="5" borderId="0" xfId="3" applyFont="1" applyFill="1" applyBorder="1" applyAlignment="1">
      <alignment vertical="center" shrinkToFit="1"/>
    </xf>
    <xf numFmtId="176" fontId="55" fillId="5" borderId="0" xfId="4" applyNumberFormat="1" applyFont="1" applyFill="1" applyAlignment="1">
      <alignment vertical="center"/>
    </xf>
    <xf numFmtId="176" fontId="38" fillId="5" borderId="186" xfId="3" applyNumberFormat="1" applyFont="1" applyFill="1" applyBorder="1" applyAlignment="1">
      <alignment horizontal="right" vertical="center"/>
    </xf>
    <xf numFmtId="41" fontId="52" fillId="5" borderId="39" xfId="3" applyFont="1" applyFill="1" applyBorder="1" applyAlignment="1">
      <alignment vertical="center"/>
    </xf>
    <xf numFmtId="176" fontId="52" fillId="0" borderId="0" xfId="4" applyNumberFormat="1" applyFont="1" applyAlignment="1">
      <alignment vertical="center" shrinkToFit="1"/>
    </xf>
    <xf numFmtId="176" fontId="52" fillId="5" borderId="39" xfId="3" applyNumberFormat="1" applyFont="1" applyFill="1" applyBorder="1" applyAlignment="1">
      <alignment vertical="center"/>
    </xf>
    <xf numFmtId="176" fontId="52" fillId="5" borderId="39" xfId="3" applyNumberFormat="1" applyFont="1" applyFill="1" applyBorder="1" applyAlignment="1">
      <alignment horizontal="left" vertical="center"/>
    </xf>
    <xf numFmtId="176" fontId="58" fillId="5" borderId="0" xfId="4" applyNumberFormat="1" applyFont="1" applyFill="1" applyAlignment="1">
      <alignment vertical="center" shrinkToFit="1"/>
    </xf>
    <xf numFmtId="176" fontId="55" fillId="5" borderId="0" xfId="4" applyNumberFormat="1" applyFont="1" applyFill="1" applyAlignment="1">
      <alignment vertical="center" shrinkToFit="1"/>
    </xf>
    <xf numFmtId="180" fontId="37" fillId="5" borderId="0" xfId="4" applyNumberFormat="1" applyFont="1" applyFill="1" applyAlignment="1">
      <alignment vertical="center"/>
    </xf>
    <xf numFmtId="187" fontId="37" fillId="0" borderId="0" xfId="4" applyNumberFormat="1" applyFont="1" applyAlignment="1">
      <alignment vertical="center"/>
    </xf>
    <xf numFmtId="0" fontId="37" fillId="5" borderId="185" xfId="4" applyFont="1" applyFill="1" applyBorder="1" applyAlignment="1">
      <alignment vertical="center"/>
    </xf>
    <xf numFmtId="41" fontId="37" fillId="5" borderId="39" xfId="3" applyFont="1" applyFill="1" applyBorder="1" applyAlignment="1">
      <alignment horizontal="left" vertical="center"/>
    </xf>
    <xf numFmtId="186" fontId="52" fillId="5" borderId="0" xfId="3" applyNumberFormat="1" applyFont="1" applyFill="1" applyBorder="1" applyAlignment="1">
      <alignment horizontal="right" vertical="center" shrinkToFit="1"/>
    </xf>
    <xf numFmtId="176" fontId="52" fillId="5" borderId="0" xfId="4" applyNumberFormat="1" applyFont="1" applyFill="1" applyAlignment="1">
      <alignment horizontal="center" vertical="center" shrinkToFit="1"/>
    </xf>
    <xf numFmtId="189" fontId="37" fillId="5" borderId="0" xfId="4" applyNumberFormat="1" applyFont="1" applyFill="1" applyAlignment="1">
      <alignment vertical="center" shrinkToFit="1"/>
    </xf>
    <xf numFmtId="41" fontId="40" fillId="5" borderId="186" xfId="3" applyFont="1" applyFill="1" applyBorder="1" applyAlignment="1">
      <alignment vertical="center"/>
    </xf>
    <xf numFmtId="41" fontId="40" fillId="5" borderId="185" xfId="3" applyFont="1" applyFill="1" applyBorder="1" applyAlignment="1">
      <alignment vertical="center"/>
    </xf>
    <xf numFmtId="182" fontId="37" fillId="5" borderId="0" xfId="4" applyNumberFormat="1" applyFont="1" applyFill="1" applyAlignment="1">
      <alignment vertical="center" shrinkToFit="1"/>
    </xf>
    <xf numFmtId="41" fontId="37" fillId="5" borderId="187" xfId="3" applyFont="1" applyFill="1" applyBorder="1" applyAlignment="1">
      <alignment vertical="center"/>
    </xf>
    <xf numFmtId="41" fontId="25" fillId="0" borderId="0" xfId="3" applyFont="1" applyBorder="1" applyAlignment="1">
      <alignment vertical="center" shrinkToFit="1"/>
    </xf>
    <xf numFmtId="41" fontId="52" fillId="5" borderId="185" xfId="3" applyFont="1" applyFill="1" applyBorder="1" applyAlignment="1">
      <alignment vertical="center"/>
    </xf>
    <xf numFmtId="41" fontId="53" fillId="0" borderId="0" xfId="3" applyFont="1" applyBorder="1" applyAlignment="1">
      <alignment vertical="center" shrinkToFit="1"/>
    </xf>
    <xf numFmtId="41" fontId="52" fillId="5" borderId="187" xfId="3" applyFont="1" applyFill="1" applyBorder="1" applyAlignment="1">
      <alignment vertical="center" shrinkToFit="1"/>
    </xf>
    <xf numFmtId="176" fontId="37" fillId="5" borderId="39" xfId="3" applyNumberFormat="1" applyFont="1" applyFill="1" applyBorder="1" applyAlignment="1">
      <alignment horizontal="right" vertical="center"/>
    </xf>
    <xf numFmtId="176" fontId="58" fillId="5" borderId="0" xfId="4" applyNumberFormat="1" applyFont="1" applyFill="1" applyAlignment="1">
      <alignment vertical="center"/>
    </xf>
    <xf numFmtId="186" fontId="38" fillId="5" borderId="0" xfId="3" applyNumberFormat="1" applyFont="1" applyFill="1" applyBorder="1" applyAlignment="1">
      <alignment vertical="center" shrinkToFit="1"/>
    </xf>
    <xf numFmtId="176" fontId="37" fillId="5" borderId="186" xfId="3" applyNumberFormat="1" applyFont="1" applyFill="1" applyBorder="1" applyAlignment="1">
      <alignment horizontal="left" vertical="center"/>
    </xf>
    <xf numFmtId="186" fontId="37" fillId="5" borderId="0" xfId="3" applyNumberFormat="1" applyFont="1" applyFill="1" applyBorder="1" applyAlignment="1">
      <alignment horizontal="center" vertical="center" shrinkToFit="1"/>
    </xf>
    <xf numFmtId="176" fontId="37" fillId="5" borderId="0" xfId="4" applyNumberFormat="1" applyFont="1" applyFill="1" applyAlignment="1">
      <alignment horizontal="center" vertical="center" shrinkToFit="1"/>
    </xf>
    <xf numFmtId="176" fontId="37" fillId="0" borderId="0" xfId="4" applyNumberFormat="1" applyFont="1" applyAlignment="1">
      <alignment horizontal="center" vertical="center" shrinkToFit="1"/>
    </xf>
    <xf numFmtId="180" fontId="37" fillId="0" borderId="0" xfId="4" applyNumberFormat="1" applyFont="1" applyAlignment="1">
      <alignment horizontal="center" vertical="center"/>
    </xf>
    <xf numFmtId="0" fontId="37" fillId="0" borderId="0" xfId="4" applyFont="1" applyAlignment="1">
      <alignment horizontal="center" vertical="center"/>
    </xf>
    <xf numFmtId="176" fontId="37" fillId="5" borderId="187" xfId="3" applyNumberFormat="1" applyFont="1" applyFill="1" applyBorder="1" applyAlignment="1">
      <alignment horizontal="left" vertical="center"/>
    </xf>
    <xf numFmtId="180" fontId="37" fillId="0" borderId="0" xfId="4" applyNumberFormat="1" applyFont="1" applyAlignment="1">
      <alignment vertical="center"/>
    </xf>
    <xf numFmtId="0" fontId="37" fillId="0" borderId="0" xfId="4" applyFont="1" applyAlignment="1">
      <alignment vertical="center"/>
    </xf>
    <xf numFmtId="0" fontId="70" fillId="5" borderId="0" xfId="7" applyNumberFormat="1" applyFont="1" applyFill="1" applyAlignment="1">
      <alignment horizontal="left" vertical="center"/>
    </xf>
    <xf numFmtId="0" fontId="70" fillId="5" borderId="0" xfId="7" applyNumberFormat="1" applyFont="1" applyFill="1" applyAlignment="1">
      <alignment horizontal="center" vertical="center"/>
    </xf>
    <xf numFmtId="180" fontId="70" fillId="5" borderId="0" xfId="10" applyNumberFormat="1" applyFont="1" applyFill="1" applyAlignment="1">
      <alignment horizontal="center" vertical="center"/>
    </xf>
    <xf numFmtId="0" fontId="70" fillId="5" borderId="0" xfId="6" applyFont="1" applyFill="1" applyAlignment="1">
      <alignment horizontal="center" vertical="center"/>
    </xf>
    <xf numFmtId="41" fontId="70" fillId="0" borderId="0" xfId="6" applyNumberFormat="1" applyFont="1" applyAlignment="1">
      <alignment horizontal="right" vertical="center"/>
    </xf>
    <xf numFmtId="0" fontId="70" fillId="0" borderId="0" xfId="6" applyFont="1" applyAlignment="1">
      <alignment vertical="center"/>
    </xf>
    <xf numFmtId="41" fontId="36" fillId="5" borderId="0" xfId="3" applyFont="1" applyFill="1" applyAlignment="1">
      <alignment vertical="center"/>
    </xf>
    <xf numFmtId="176" fontId="53" fillId="5" borderId="0" xfId="4" applyNumberFormat="1" applyFont="1" applyFill="1" applyAlignment="1">
      <alignment vertical="center"/>
    </xf>
    <xf numFmtId="180" fontId="25" fillId="5" borderId="0" xfId="4" applyNumberFormat="1" applyFont="1" applyFill="1" applyAlignment="1">
      <alignment vertical="center" shrinkToFit="1"/>
    </xf>
    <xf numFmtId="186" fontId="25" fillId="5" borderId="0" xfId="3" applyNumberFormat="1" applyFont="1" applyFill="1" applyBorder="1" applyAlignment="1">
      <alignment vertical="center" shrinkToFit="1"/>
    </xf>
    <xf numFmtId="176" fontId="25" fillId="5" borderId="0" xfId="4" applyNumberFormat="1" applyFont="1" applyFill="1" applyAlignment="1">
      <alignment vertical="center" shrinkToFit="1"/>
    </xf>
    <xf numFmtId="41" fontId="37" fillId="5" borderId="186" xfId="3" applyFont="1" applyFill="1" applyBorder="1" applyAlignment="1">
      <alignment horizontal="left" vertical="center"/>
    </xf>
    <xf numFmtId="190" fontId="37" fillId="5" borderId="0" xfId="4" applyNumberFormat="1" applyFont="1" applyFill="1" applyAlignment="1">
      <alignment vertical="center" shrinkToFit="1"/>
    </xf>
    <xf numFmtId="191" fontId="37" fillId="5" borderId="0" xfId="3" applyNumberFormat="1" applyFont="1" applyFill="1" applyBorder="1" applyAlignment="1">
      <alignment vertical="center" shrinkToFit="1"/>
    </xf>
    <xf numFmtId="41" fontId="40" fillId="5" borderId="185" xfId="3" applyFont="1" applyFill="1" applyBorder="1" applyAlignment="1">
      <alignment vertical="center" shrinkToFit="1"/>
    </xf>
    <xf numFmtId="41" fontId="25" fillId="5" borderId="0" xfId="3" applyFont="1" applyFill="1" applyBorder="1" applyAlignment="1">
      <alignment vertical="center" shrinkToFit="1"/>
    </xf>
    <xf numFmtId="187" fontId="25" fillId="5" borderId="0" xfId="4" applyNumberFormat="1" applyFont="1" applyFill="1" applyAlignment="1">
      <alignment vertical="center"/>
    </xf>
    <xf numFmtId="41" fontId="40" fillId="5" borderId="187" xfId="3" applyFont="1" applyFill="1" applyBorder="1" applyAlignment="1">
      <alignment vertical="center"/>
    </xf>
    <xf numFmtId="41" fontId="36" fillId="5" borderId="185" xfId="3" applyFont="1" applyFill="1" applyBorder="1" applyAlignment="1">
      <alignment vertical="center"/>
    </xf>
    <xf numFmtId="41" fontId="36" fillId="5" borderId="39" xfId="3" applyFont="1" applyFill="1" applyBorder="1" applyAlignment="1">
      <alignment vertical="center"/>
    </xf>
    <xf numFmtId="187" fontId="37" fillId="5" borderId="0" xfId="4" applyNumberFormat="1" applyFont="1" applyFill="1" applyAlignment="1">
      <alignment vertical="center" shrinkToFit="1"/>
    </xf>
    <xf numFmtId="41" fontId="37" fillId="5" borderId="39" xfId="3" applyFont="1" applyFill="1" applyBorder="1" applyAlignment="1">
      <alignment horizontal="right" vertical="center"/>
    </xf>
    <xf numFmtId="176" fontId="37" fillId="5" borderId="185" xfId="3" applyNumberFormat="1" applyFont="1" applyFill="1" applyBorder="1" applyAlignment="1">
      <alignment vertical="center"/>
    </xf>
    <xf numFmtId="192" fontId="37" fillId="5" borderId="0" xfId="4" applyNumberFormat="1" applyFont="1" applyFill="1" applyAlignment="1">
      <alignment vertical="center" shrinkToFit="1"/>
    </xf>
    <xf numFmtId="176" fontId="90" fillId="5" borderId="185" xfId="3" applyNumberFormat="1" applyFont="1" applyFill="1" applyBorder="1" applyAlignment="1">
      <alignment vertical="center"/>
    </xf>
    <xf numFmtId="41" fontId="38" fillId="5" borderId="39" xfId="3" applyFont="1" applyFill="1" applyBorder="1" applyAlignment="1">
      <alignment horizontal="right" vertical="center"/>
    </xf>
    <xf numFmtId="176" fontId="37" fillId="5" borderId="185" xfId="3" applyNumberFormat="1" applyFont="1" applyFill="1" applyBorder="1" applyAlignment="1">
      <alignment horizontal="left" vertical="center"/>
    </xf>
    <xf numFmtId="41" fontId="37" fillId="5" borderId="185" xfId="3" applyFont="1" applyFill="1" applyBorder="1" applyAlignment="1">
      <alignment horizontal="left" vertical="center" shrinkToFit="1"/>
    </xf>
    <xf numFmtId="185" fontId="37" fillId="5" borderId="0" xfId="4" applyNumberFormat="1" applyFont="1" applyFill="1" applyAlignment="1">
      <alignment vertical="center" shrinkToFit="1"/>
    </xf>
    <xf numFmtId="41" fontId="37" fillId="5" borderId="185" xfId="3" applyFont="1" applyFill="1" applyBorder="1" applyAlignment="1">
      <alignment horizontal="left" vertical="center"/>
    </xf>
    <xf numFmtId="41" fontId="37" fillId="5" borderId="187" xfId="3" applyFont="1" applyFill="1" applyBorder="1" applyAlignment="1">
      <alignment horizontal="left" vertical="center"/>
    </xf>
    <xf numFmtId="0" fontId="70" fillId="0" borderId="0" xfId="7" applyNumberFormat="1" applyFont="1" applyAlignment="1">
      <alignment horizontal="left" vertical="center"/>
    </xf>
    <xf numFmtId="0" fontId="70" fillId="0" borderId="0" xfId="7" applyNumberFormat="1" applyFont="1" applyAlignment="1">
      <alignment horizontal="center" vertical="center"/>
    </xf>
    <xf numFmtId="180" fontId="70" fillId="0" borderId="0" xfId="10" applyNumberFormat="1" applyFont="1" applyAlignment="1">
      <alignment horizontal="center" vertical="center"/>
    </xf>
    <xf numFmtId="0" fontId="70" fillId="0" borderId="0" xfId="6" applyFont="1" applyAlignment="1">
      <alignment horizontal="center" vertical="center"/>
    </xf>
    <xf numFmtId="0" fontId="42" fillId="0" borderId="0" xfId="6" applyFont="1" applyAlignment="1">
      <alignment vertical="center"/>
    </xf>
    <xf numFmtId="41" fontId="70" fillId="0" borderId="0" xfId="7" applyFont="1" applyAlignment="1">
      <alignment horizontal="right" vertical="center"/>
    </xf>
    <xf numFmtId="41" fontId="59" fillId="0" borderId="0" xfId="14" applyFont="1" applyFill="1" applyBorder="1" applyAlignment="1">
      <alignment vertical="center"/>
    </xf>
    <xf numFmtId="38" fontId="80" fillId="0" borderId="0" xfId="4" applyNumberFormat="1" applyFont="1" applyAlignment="1">
      <alignment vertical="center"/>
    </xf>
    <xf numFmtId="180" fontId="59" fillId="0" borderId="0" xfId="4" applyNumberFormat="1" applyFont="1" applyAlignment="1">
      <alignment vertical="center" shrinkToFit="1"/>
    </xf>
    <xf numFmtId="186" fontId="75" fillId="0" borderId="0" xfId="14" applyNumberFormat="1" applyFont="1" applyFill="1" applyBorder="1" applyAlignment="1">
      <alignment vertical="center" shrinkToFit="1"/>
    </xf>
    <xf numFmtId="38" fontId="59" fillId="0" borderId="0" xfId="4" applyNumberFormat="1" applyFont="1" applyAlignment="1">
      <alignment vertical="center" shrinkToFit="1"/>
    </xf>
    <xf numFmtId="41" fontId="59" fillId="0" borderId="0" xfId="14" applyFont="1" applyFill="1" applyBorder="1" applyAlignment="1">
      <alignment vertical="center" shrinkToFit="1"/>
    </xf>
    <xf numFmtId="41" fontId="59" fillId="5" borderId="0" xfId="14" applyFont="1" applyFill="1" applyBorder="1" applyAlignment="1">
      <alignment vertical="center" shrinkToFit="1"/>
    </xf>
    <xf numFmtId="38" fontId="80" fillId="5" borderId="0" xfId="4" applyNumberFormat="1" applyFont="1" applyFill="1" applyAlignment="1">
      <alignment vertical="center"/>
    </xf>
    <xf numFmtId="180" fontId="59" fillId="5" borderId="0" xfId="4" applyNumberFormat="1" applyFont="1" applyFill="1" applyAlignment="1">
      <alignment vertical="center" shrinkToFit="1"/>
    </xf>
    <xf numFmtId="186" fontId="59" fillId="5" borderId="0" xfId="14" applyNumberFormat="1" applyFont="1" applyFill="1" applyBorder="1" applyAlignment="1">
      <alignment vertical="center" shrinkToFit="1"/>
    </xf>
    <xf numFmtId="38" fontId="59" fillId="5" borderId="0" xfId="4" applyNumberFormat="1" applyFont="1" applyFill="1" applyAlignment="1">
      <alignment vertical="center" shrinkToFit="1"/>
    </xf>
    <xf numFmtId="41" fontId="59" fillId="5" borderId="0" xfId="14" quotePrefix="1" applyFont="1" applyFill="1" applyBorder="1" applyAlignment="1">
      <alignment vertical="center" shrinkToFit="1"/>
    </xf>
    <xf numFmtId="180" fontId="53" fillId="5" borderId="0" xfId="4" applyNumberFormat="1" applyFont="1" applyFill="1" applyAlignment="1">
      <alignment vertical="center" shrinkToFit="1"/>
    </xf>
    <xf numFmtId="186" fontId="53" fillId="5" borderId="0" xfId="3" applyNumberFormat="1" applyFont="1" applyFill="1" applyBorder="1" applyAlignment="1">
      <alignment vertical="center" shrinkToFit="1"/>
    </xf>
    <xf numFmtId="176" fontId="53" fillId="5" borderId="0" xfId="4" applyNumberFormat="1" applyFont="1" applyFill="1" applyAlignment="1">
      <alignment vertical="center" shrinkToFit="1"/>
    </xf>
    <xf numFmtId="41" fontId="59" fillId="0" borderId="186" xfId="14" applyFont="1" applyFill="1" applyBorder="1" applyAlignment="1">
      <alignment vertical="center" shrinkToFit="1"/>
    </xf>
    <xf numFmtId="186" fontId="59" fillId="0" borderId="0" xfId="14" applyNumberFormat="1" applyFont="1" applyFill="1" applyBorder="1" applyAlignment="1">
      <alignment vertical="center" shrinkToFit="1"/>
    </xf>
    <xf numFmtId="0" fontId="52" fillId="5" borderId="39" xfId="5" applyFont="1" applyFill="1" applyBorder="1" applyAlignment="1">
      <alignment horizontal="justify" vertical="center"/>
    </xf>
    <xf numFmtId="180" fontId="52" fillId="5" borderId="0" xfId="5" applyNumberFormat="1" applyFont="1" applyFill="1" applyAlignment="1">
      <alignment vertical="center" shrinkToFit="1"/>
    </xf>
    <xf numFmtId="41" fontId="59" fillId="0" borderId="185" xfId="14" applyFont="1" applyFill="1" applyBorder="1" applyAlignment="1">
      <alignment vertical="center" shrinkToFit="1"/>
    </xf>
    <xf numFmtId="41" fontId="51" fillId="0" borderId="185" xfId="3" applyFont="1" applyBorder="1" applyAlignment="1">
      <alignment vertical="center"/>
    </xf>
    <xf numFmtId="176" fontId="53" fillId="0" borderId="0" xfId="4" applyNumberFormat="1" applyFont="1" applyAlignment="1">
      <alignment vertical="center"/>
    </xf>
    <xf numFmtId="180" fontId="53" fillId="0" borderId="0" xfId="4" applyNumberFormat="1" applyFont="1" applyAlignment="1">
      <alignment vertical="center" shrinkToFit="1"/>
    </xf>
    <xf numFmtId="186" fontId="53" fillId="0" borderId="0" xfId="3" applyNumberFormat="1" applyFont="1" applyBorder="1" applyAlignment="1">
      <alignment vertical="center" shrinkToFit="1"/>
    </xf>
    <xf numFmtId="176" fontId="53" fillId="0" borderId="0" xfId="4" applyNumberFormat="1" applyFont="1" applyAlignment="1">
      <alignment vertical="center" shrinkToFit="1"/>
    </xf>
    <xf numFmtId="180" fontId="25" fillId="0" borderId="0" xfId="4" applyNumberFormat="1" applyFont="1" applyAlignment="1">
      <alignment vertical="center" shrinkToFit="1"/>
    </xf>
    <xf numFmtId="186" fontId="25" fillId="0" borderId="0" xfId="3" applyNumberFormat="1" applyFont="1" applyBorder="1" applyAlignment="1">
      <alignment vertical="center" shrinkToFit="1"/>
    </xf>
    <xf numFmtId="176" fontId="25" fillId="0" borderId="0" xfId="4" applyNumberFormat="1" applyFont="1" applyAlignment="1">
      <alignment vertical="center" shrinkToFit="1"/>
    </xf>
    <xf numFmtId="0" fontId="52" fillId="0" borderId="121" xfId="7" applyNumberFormat="1" applyFont="1" applyBorder="1" applyAlignment="1">
      <alignment horizontal="left" vertical="center"/>
    </xf>
    <xf numFmtId="41" fontId="52" fillId="0" borderId="0" xfId="3" applyFont="1" applyBorder="1" applyAlignment="1">
      <alignment vertical="center"/>
    </xf>
    <xf numFmtId="41" fontId="55" fillId="0" borderId="39" xfId="0" applyNumberFormat="1" applyFont="1" applyBorder="1">
      <alignment vertical="center"/>
    </xf>
    <xf numFmtId="0" fontId="37" fillId="5" borderId="149" xfId="3" applyNumberFormat="1" applyFont="1" applyFill="1" applyBorder="1" applyAlignment="1">
      <alignment horizontal="left" vertical="center"/>
    </xf>
    <xf numFmtId="177" fontId="52" fillId="0" borderId="36" xfId="0" applyNumberFormat="1" applyFont="1" applyBorder="1">
      <alignment vertical="center"/>
    </xf>
    <xf numFmtId="41" fontId="55" fillId="0" borderId="150" xfId="0" applyNumberFormat="1" applyFont="1" applyBorder="1">
      <alignment vertical="center"/>
    </xf>
    <xf numFmtId="177" fontId="52" fillId="0" borderId="119" xfId="0" applyNumberFormat="1" applyFont="1" applyBorder="1">
      <alignment vertical="center"/>
    </xf>
    <xf numFmtId="0" fontId="52" fillId="5" borderId="121" xfId="3" applyNumberFormat="1" applyFont="1" applyFill="1" applyBorder="1" applyAlignment="1">
      <alignment horizontal="left" vertical="center"/>
    </xf>
    <xf numFmtId="0" fontId="37" fillId="5" borderId="149" xfId="4" quotePrefix="1" applyFont="1" applyFill="1" applyBorder="1" applyAlignment="1">
      <alignment horizontal="center" vertical="center"/>
    </xf>
    <xf numFmtId="177" fontId="55" fillId="0" borderId="36" xfId="0" applyNumberFormat="1" applyFont="1" applyBorder="1">
      <alignment vertical="center"/>
    </xf>
    <xf numFmtId="0" fontId="1" fillId="0" borderId="0" xfId="4"/>
    <xf numFmtId="0" fontId="1" fillId="0" borderId="0" xfId="4" applyAlignment="1">
      <alignment vertical="center"/>
    </xf>
    <xf numFmtId="0" fontId="18" fillId="0" borderId="0" xfId="4" applyFont="1"/>
    <xf numFmtId="0" fontId="31" fillId="0" borderId="0" xfId="4" applyFont="1" applyAlignment="1">
      <alignment vertical="center"/>
    </xf>
    <xf numFmtId="41" fontId="30" fillId="0" borderId="0" xfId="3" applyFont="1" applyAlignment="1">
      <alignment horizontal="center"/>
    </xf>
    <xf numFmtId="0" fontId="37" fillId="0" borderId="0" xfId="4" applyFont="1" applyAlignment="1">
      <alignment horizontal="right" vertical="center"/>
    </xf>
    <xf numFmtId="41" fontId="37" fillId="2" borderId="19" xfId="3" applyFont="1" applyFill="1" applyBorder="1" applyAlignment="1">
      <alignment horizontal="center" vertical="center" wrapText="1"/>
    </xf>
    <xf numFmtId="41" fontId="37" fillId="2" borderId="20" xfId="3" applyFont="1" applyFill="1" applyBorder="1" applyAlignment="1">
      <alignment horizontal="center" vertical="center" wrapText="1"/>
    </xf>
    <xf numFmtId="0" fontId="37" fillId="0" borderId="188" xfId="4" applyFont="1" applyBorder="1" applyAlignment="1">
      <alignment horizontal="center" vertical="center"/>
    </xf>
    <xf numFmtId="0" fontId="83" fillId="0" borderId="189" xfId="4" applyFont="1" applyBorder="1" applyAlignment="1">
      <alignment horizontal="center" vertical="center"/>
    </xf>
    <xf numFmtId="0" fontId="29" fillId="0" borderId="0" xfId="4" applyFont="1" applyBorder="1" applyAlignment="1">
      <alignment vertical="center"/>
    </xf>
    <xf numFmtId="0" fontId="83" fillId="0" borderId="5" xfId="4" applyFont="1" applyBorder="1" applyAlignment="1">
      <alignment horizontal="center" vertical="center"/>
    </xf>
    <xf numFmtId="0" fontId="37" fillId="0" borderId="16" xfId="4" applyFont="1" applyBorder="1" applyAlignment="1">
      <alignment horizontal="center" vertical="center"/>
    </xf>
    <xf numFmtId="0" fontId="37" fillId="0" borderId="189" xfId="4" applyFont="1" applyBorder="1" applyAlignment="1">
      <alignment horizontal="center" vertical="center"/>
    </xf>
    <xf numFmtId="41" fontId="0" fillId="0" borderId="5" xfId="0" applyNumberFormat="1" applyBorder="1">
      <alignment vertical="center"/>
    </xf>
    <xf numFmtId="41" fontId="0" fillId="0" borderId="189" xfId="0" applyNumberFormat="1" applyBorder="1">
      <alignment vertical="center"/>
    </xf>
    <xf numFmtId="41" fontId="0" fillId="0" borderId="188" xfId="0" applyNumberFormat="1" applyBorder="1">
      <alignment vertical="center"/>
    </xf>
    <xf numFmtId="41" fontId="0" fillId="0" borderId="16" xfId="0" applyNumberFormat="1" applyBorder="1">
      <alignment vertical="center"/>
    </xf>
    <xf numFmtId="41" fontId="55" fillId="0" borderId="98" xfId="0" applyNumberFormat="1" applyFont="1" applyBorder="1">
      <alignment vertical="center"/>
    </xf>
    <xf numFmtId="41" fontId="52" fillId="0" borderId="97" xfId="0" applyNumberFormat="1" applyFont="1" applyBorder="1">
      <alignment vertical="center"/>
    </xf>
    <xf numFmtId="41" fontId="55" fillId="0" borderId="81" xfId="0" applyNumberFormat="1" applyFont="1" applyBorder="1">
      <alignment vertical="center"/>
    </xf>
    <xf numFmtId="182" fontId="55" fillId="4" borderId="19" xfId="3" applyNumberFormat="1" applyFont="1" applyFill="1" applyBorder="1" applyAlignment="1">
      <alignment horizontal="right" vertical="center"/>
    </xf>
    <xf numFmtId="182" fontId="55" fillId="0" borderId="125" xfId="0" applyNumberFormat="1" applyFont="1" applyBorder="1">
      <alignment vertical="center"/>
    </xf>
    <xf numFmtId="182" fontId="55" fillId="0" borderId="8" xfId="7" applyNumberFormat="1" applyFont="1" applyFill="1" applyBorder="1" applyAlignment="1">
      <alignment horizontal="right" vertical="center"/>
    </xf>
    <xf numFmtId="182" fontId="55" fillId="0" borderId="120" xfId="0" applyNumberFormat="1" applyFont="1" applyBorder="1">
      <alignment vertical="center"/>
    </xf>
    <xf numFmtId="182" fontId="55" fillId="0" borderId="5" xfId="7" applyNumberFormat="1" applyFont="1" applyFill="1" applyBorder="1" applyAlignment="1">
      <alignment horizontal="right" vertical="center"/>
    </xf>
    <xf numFmtId="182" fontId="55" fillId="0" borderId="5" xfId="7" applyNumberFormat="1" applyFont="1" applyFill="1" applyBorder="1" applyAlignment="1">
      <alignment vertical="center"/>
    </xf>
    <xf numFmtId="182" fontId="52" fillId="0" borderId="120" xfId="0" applyNumberFormat="1" applyFont="1" applyBorder="1">
      <alignment vertical="center"/>
    </xf>
    <xf numFmtId="182" fontId="37" fillId="5" borderId="5" xfId="3" applyNumberFormat="1" applyFont="1" applyFill="1" applyBorder="1" applyAlignment="1">
      <alignment horizontal="right" vertical="center"/>
    </xf>
    <xf numFmtId="182" fontId="37" fillId="5" borderId="37" xfId="3" applyNumberFormat="1" applyFont="1" applyFill="1" applyBorder="1" applyAlignment="1">
      <alignment horizontal="right" vertical="center"/>
    </xf>
    <xf numFmtId="182" fontId="52" fillId="0" borderId="37" xfId="0" applyNumberFormat="1" applyFont="1" applyBorder="1">
      <alignment vertical="center"/>
    </xf>
    <xf numFmtId="182" fontId="37" fillId="5" borderId="36" xfId="3" applyNumberFormat="1" applyFont="1" applyFill="1" applyBorder="1" applyAlignment="1">
      <alignment horizontal="right" vertical="center"/>
    </xf>
    <xf numFmtId="182" fontId="52" fillId="0" borderId="16" xfId="0" applyNumberFormat="1" applyFont="1" applyBorder="1">
      <alignment vertical="center"/>
    </xf>
    <xf numFmtId="182" fontId="37" fillId="5" borderId="29" xfId="3" applyNumberFormat="1" applyFont="1" applyFill="1" applyBorder="1" applyAlignment="1">
      <alignment horizontal="right" vertical="center"/>
    </xf>
    <xf numFmtId="182" fontId="55" fillId="0" borderId="5" xfId="0" applyNumberFormat="1" applyFont="1" applyBorder="1">
      <alignment vertical="center"/>
    </xf>
    <xf numFmtId="182" fontId="55" fillId="0" borderId="30" xfId="7" applyNumberFormat="1" applyFont="1" applyFill="1" applyBorder="1" applyAlignment="1">
      <alignment horizontal="right" vertical="center"/>
    </xf>
    <xf numFmtId="182" fontId="52" fillId="0" borderId="5" xfId="0" applyNumberFormat="1" applyFont="1" applyBorder="1">
      <alignment vertical="center"/>
    </xf>
    <xf numFmtId="182" fontId="37" fillId="5" borderId="30" xfId="3" applyNumberFormat="1" applyFont="1" applyFill="1" applyBorder="1" applyAlignment="1">
      <alignment vertical="center"/>
    </xf>
    <xf numFmtId="182" fontId="37" fillId="5" borderId="37" xfId="3" applyNumberFormat="1" applyFont="1" applyFill="1" applyBorder="1" applyAlignment="1">
      <alignment vertical="center"/>
    </xf>
    <xf numFmtId="182" fontId="52" fillId="0" borderId="122" xfId="0" applyNumberFormat="1" applyFont="1" applyBorder="1">
      <alignment vertical="center"/>
    </xf>
    <xf numFmtId="182" fontId="37" fillId="5" borderId="16" xfId="3" applyNumberFormat="1" applyFont="1" applyFill="1" applyBorder="1" applyAlignment="1">
      <alignment vertical="center"/>
    </xf>
    <xf numFmtId="182" fontId="37" fillId="5" borderId="177" xfId="3" applyNumberFormat="1" applyFont="1" applyFill="1" applyBorder="1" applyAlignment="1">
      <alignment vertical="center"/>
    </xf>
    <xf numFmtId="182" fontId="37" fillId="5" borderId="5" xfId="3" applyNumberFormat="1" applyFont="1" applyFill="1" applyBorder="1" applyAlignment="1">
      <alignment vertical="center"/>
    </xf>
    <xf numFmtId="182" fontId="55" fillId="0" borderId="118" xfId="0" applyNumberFormat="1" applyFont="1" applyBorder="1">
      <alignment vertical="center"/>
    </xf>
    <xf numFmtId="182" fontId="52" fillId="0" borderId="118" xfId="0" applyNumberFormat="1" applyFont="1" applyBorder="1">
      <alignment vertical="center"/>
    </xf>
    <xf numFmtId="182" fontId="37" fillId="5" borderId="118" xfId="3" applyNumberFormat="1" applyFont="1" applyFill="1" applyBorder="1" applyAlignment="1">
      <alignment vertical="center"/>
    </xf>
    <xf numFmtId="182" fontId="55" fillId="0" borderId="37" xfId="7" applyNumberFormat="1" applyFont="1" applyFill="1" applyBorder="1" applyAlignment="1">
      <alignment horizontal="right" vertical="center"/>
    </xf>
    <xf numFmtId="182" fontId="55" fillId="0" borderId="122" xfId="0" applyNumberFormat="1" applyFont="1" applyBorder="1">
      <alignment vertical="center"/>
    </xf>
    <xf numFmtId="182" fontId="55" fillId="0" borderId="16" xfId="7" applyNumberFormat="1" applyFont="1" applyFill="1" applyBorder="1" applyAlignment="1">
      <alignment horizontal="right" vertical="center"/>
    </xf>
    <xf numFmtId="182" fontId="55" fillId="0" borderId="16" xfId="7" applyNumberFormat="1" applyFont="1" applyFill="1" applyBorder="1" applyAlignment="1">
      <alignment vertical="center"/>
    </xf>
    <xf numFmtId="182" fontId="37" fillId="0" borderId="16" xfId="3" applyNumberFormat="1" applyFont="1" applyFill="1" applyBorder="1" applyAlignment="1">
      <alignment horizontal="right" vertical="center"/>
    </xf>
    <xf numFmtId="182" fontId="37" fillId="0" borderId="37" xfId="3" applyNumberFormat="1" applyFont="1" applyFill="1" applyBorder="1" applyAlignment="1">
      <alignment horizontal="right" vertical="center"/>
    </xf>
    <xf numFmtId="182" fontId="37" fillId="0" borderId="16" xfId="3" applyNumberFormat="1" applyFont="1" applyFill="1" applyBorder="1" applyAlignment="1">
      <alignment vertical="center"/>
    </xf>
    <xf numFmtId="182" fontId="37" fillId="0" borderId="37" xfId="3" applyNumberFormat="1" applyFont="1" applyFill="1" applyBorder="1" applyAlignment="1">
      <alignment vertical="center"/>
    </xf>
    <xf numFmtId="182" fontId="52" fillId="0" borderId="16" xfId="3" applyNumberFormat="1" applyFont="1" applyBorder="1" applyAlignment="1">
      <alignment horizontal="right" vertical="center"/>
    </xf>
    <xf numFmtId="182" fontId="52" fillId="0" borderId="37" xfId="3" applyNumberFormat="1" applyFont="1" applyBorder="1" applyAlignment="1">
      <alignment horizontal="right" vertical="center"/>
    </xf>
    <xf numFmtId="182" fontId="52" fillId="0" borderId="16" xfId="3" applyNumberFormat="1" applyFont="1" applyBorder="1" applyAlignment="1">
      <alignment vertical="center"/>
    </xf>
    <xf numFmtId="182" fontId="52" fillId="0" borderId="36" xfId="3" applyNumberFormat="1" applyFont="1" applyBorder="1" applyAlignment="1">
      <alignment vertical="center"/>
    </xf>
    <xf numFmtId="182" fontId="52" fillId="0" borderId="29" xfId="3" applyNumberFormat="1" applyFont="1" applyBorder="1" applyAlignment="1">
      <alignment vertical="center"/>
    </xf>
    <xf numFmtId="182" fontId="52" fillId="0" borderId="37" xfId="3" applyNumberFormat="1" applyFont="1" applyFill="1" applyBorder="1" applyAlignment="1">
      <alignment vertical="center"/>
    </xf>
    <xf numFmtId="182" fontId="52" fillId="0" borderId="29" xfId="3" applyNumberFormat="1" applyFont="1" applyFill="1" applyBorder="1" applyAlignment="1">
      <alignment vertical="center"/>
    </xf>
    <xf numFmtId="182" fontId="52" fillId="0" borderId="37" xfId="3" applyNumberFormat="1" applyFont="1" applyBorder="1" applyAlignment="1">
      <alignment vertical="center"/>
    </xf>
    <xf numFmtId="182" fontId="52" fillId="0" borderId="5" xfId="3" applyNumberFormat="1" applyFont="1" applyFill="1" applyBorder="1" applyAlignment="1">
      <alignment vertical="center"/>
    </xf>
    <xf numFmtId="182" fontId="52" fillId="0" borderId="118" xfId="3" applyNumberFormat="1" applyFont="1" applyFill="1" applyBorder="1" applyAlignment="1">
      <alignment vertical="center"/>
    </xf>
    <xf numFmtId="182" fontId="52" fillId="0" borderId="16" xfId="3" applyNumberFormat="1" applyFont="1" applyFill="1" applyBorder="1" applyAlignment="1">
      <alignment vertical="center"/>
    </xf>
    <xf numFmtId="182" fontId="52" fillId="0" borderId="16" xfId="7" applyNumberFormat="1" applyFont="1" applyFill="1" applyBorder="1" applyAlignment="1">
      <alignment horizontal="right" vertical="center"/>
    </xf>
    <xf numFmtId="182" fontId="52" fillId="0" borderId="37" xfId="7" applyNumberFormat="1" applyFont="1" applyFill="1" applyBorder="1" applyAlignment="1">
      <alignment horizontal="right" vertical="center"/>
    </xf>
    <xf numFmtId="182" fontId="55" fillId="0" borderId="37" xfId="7" applyNumberFormat="1" applyFont="1" applyFill="1" applyBorder="1" applyAlignment="1">
      <alignment vertical="center"/>
    </xf>
    <xf numFmtId="182" fontId="52" fillId="0" borderId="5" xfId="7" applyNumberFormat="1" applyFont="1" applyFill="1" applyBorder="1" applyAlignment="1">
      <alignment horizontal="right" vertical="center"/>
    </xf>
    <xf numFmtId="182" fontId="52" fillId="0" borderId="126" xfId="0" applyNumberFormat="1" applyFont="1" applyBorder="1">
      <alignment vertical="center"/>
    </xf>
    <xf numFmtId="182" fontId="52" fillId="0" borderId="23" xfId="3" applyNumberFormat="1" applyFont="1" applyFill="1" applyBorder="1" applyAlignment="1">
      <alignment vertical="center"/>
    </xf>
    <xf numFmtId="182" fontId="52" fillId="0" borderId="5" xfId="3" applyNumberFormat="1" applyFont="1" applyBorder="1" applyAlignment="1">
      <alignment vertical="center"/>
    </xf>
    <xf numFmtId="182" fontId="52" fillId="0" borderId="113" xfId="0" applyNumberFormat="1" applyFont="1" applyBorder="1">
      <alignment vertical="center"/>
    </xf>
    <xf numFmtId="182" fontId="52" fillId="0" borderId="23" xfId="3" applyNumberFormat="1" applyFont="1" applyBorder="1" applyAlignment="1">
      <alignment vertical="center"/>
    </xf>
    <xf numFmtId="182" fontId="42" fillId="0" borderId="23" xfId="7" applyNumberFormat="1" applyFont="1" applyFill="1" applyBorder="1" applyAlignment="1">
      <alignment horizontal="right" vertical="center"/>
    </xf>
    <xf numFmtId="182" fontId="42" fillId="0" borderId="37" xfId="7" applyNumberFormat="1" applyFont="1" applyFill="1" applyBorder="1" applyAlignment="1">
      <alignment horizontal="right" vertical="center"/>
    </xf>
    <xf numFmtId="182" fontId="52" fillId="0" borderId="16" xfId="14" applyNumberFormat="1" applyFont="1" applyFill="1" applyBorder="1" applyAlignment="1">
      <alignment horizontal="right" vertical="center" shrinkToFit="1"/>
    </xf>
    <xf numFmtId="182" fontId="52" fillId="0" borderId="37" xfId="14" applyNumberFormat="1" applyFont="1" applyFill="1" applyBorder="1" applyAlignment="1">
      <alignment horizontal="right" vertical="center" shrinkToFit="1"/>
    </xf>
    <xf numFmtId="182" fontId="52" fillId="0" borderId="37" xfId="13" applyNumberFormat="1" applyFont="1" applyFill="1" applyBorder="1" applyAlignment="1">
      <alignment horizontal="right" vertical="center" shrinkToFit="1"/>
    </xf>
    <xf numFmtId="182" fontId="52" fillId="0" borderId="16" xfId="13" applyNumberFormat="1" applyFont="1" applyFill="1" applyBorder="1" applyAlignment="1">
      <alignment horizontal="right" vertical="center" shrinkToFit="1"/>
    </xf>
    <xf numFmtId="182" fontId="52" fillId="0" borderId="36" xfId="14" applyNumberFormat="1" applyFont="1" applyFill="1" applyBorder="1" applyAlignment="1">
      <alignment horizontal="right" vertical="center" shrinkToFit="1"/>
    </xf>
    <xf numFmtId="182" fontId="55" fillId="0" borderId="5" xfId="14" applyNumberFormat="1" applyFont="1" applyFill="1" applyBorder="1" applyAlignment="1">
      <alignment horizontal="right" vertical="center" shrinkToFit="1"/>
    </xf>
    <xf numFmtId="182" fontId="52" fillId="0" borderId="118" xfId="14" applyNumberFormat="1" applyFont="1" applyFill="1" applyBorder="1" applyAlignment="1">
      <alignment horizontal="right" vertical="center" shrinkToFit="1"/>
    </xf>
    <xf numFmtId="182" fontId="52" fillId="0" borderId="37" xfId="14" applyNumberFormat="1" applyFont="1" applyFill="1" applyBorder="1" applyAlignment="1">
      <alignment vertical="center" shrinkToFit="1"/>
    </xf>
    <xf numFmtId="182" fontId="52" fillId="0" borderId="118" xfId="14" applyNumberFormat="1" applyFont="1" applyFill="1" applyBorder="1" applyAlignment="1">
      <alignment vertical="center" shrinkToFit="1"/>
    </xf>
    <xf numFmtId="182" fontId="52" fillId="0" borderId="5" xfId="14" applyNumberFormat="1" applyFont="1" applyFill="1" applyBorder="1" applyAlignment="1">
      <alignment horizontal="right" vertical="center" shrinkToFit="1"/>
    </xf>
    <xf numFmtId="182" fontId="52" fillId="0" borderId="5" xfId="14" applyNumberFormat="1" applyFont="1" applyFill="1" applyBorder="1" applyAlignment="1">
      <alignment vertical="center" shrinkToFit="1"/>
    </xf>
    <xf numFmtId="182" fontId="55" fillId="0" borderId="16" xfId="0" applyNumberFormat="1" applyFont="1" applyBorder="1">
      <alignment vertical="center"/>
    </xf>
    <xf numFmtId="182" fontId="52" fillId="0" borderId="16" xfId="14" applyNumberFormat="1" applyFont="1" applyFill="1" applyBorder="1" applyAlignment="1">
      <alignment vertical="center" shrinkToFit="1"/>
    </xf>
    <xf numFmtId="182" fontId="55" fillId="0" borderId="16" xfId="14" applyNumberFormat="1" applyFont="1" applyFill="1" applyBorder="1" applyAlignment="1">
      <alignment vertical="center" shrinkToFit="1"/>
    </xf>
    <xf numFmtId="182" fontId="38" fillId="0" borderId="37" xfId="3" applyNumberFormat="1" applyFont="1" applyFill="1" applyBorder="1" applyAlignment="1">
      <alignment horizontal="right" vertical="center" shrinkToFit="1"/>
    </xf>
    <xf numFmtId="182" fontId="38" fillId="0" borderId="5" xfId="3" applyNumberFormat="1" applyFont="1" applyFill="1" applyBorder="1" applyAlignment="1">
      <alignment horizontal="right" vertical="center" shrinkToFit="1"/>
    </xf>
    <xf numFmtId="182" fontId="38" fillId="0" borderId="16" xfId="3" applyNumberFormat="1" applyFont="1" applyFill="1" applyBorder="1" applyAlignment="1">
      <alignment horizontal="right" vertical="center" shrinkToFit="1"/>
    </xf>
    <xf numFmtId="182" fontId="37" fillId="0" borderId="16" xfId="3" applyNumberFormat="1" applyFont="1" applyFill="1" applyBorder="1" applyAlignment="1">
      <alignment horizontal="right" vertical="center" shrinkToFit="1"/>
    </xf>
    <xf numFmtId="182" fontId="37" fillId="0" borderId="37" xfId="3" applyNumberFormat="1" applyFont="1" applyFill="1" applyBorder="1" applyAlignment="1">
      <alignment horizontal="right" vertical="center" shrinkToFit="1"/>
    </xf>
    <xf numFmtId="182" fontId="37" fillId="0" borderId="16" xfId="13" applyNumberFormat="1" applyFont="1" applyFill="1" applyBorder="1" applyAlignment="1">
      <alignment horizontal="right" vertical="center" shrinkToFit="1"/>
    </xf>
    <xf numFmtId="182" fontId="37" fillId="0" borderId="37" xfId="13" applyNumberFormat="1" applyFont="1" applyFill="1" applyBorder="1" applyAlignment="1">
      <alignment horizontal="right" vertical="center" shrinkToFit="1"/>
    </xf>
    <xf numFmtId="182" fontId="52" fillId="0" borderId="16" xfId="3" applyNumberFormat="1" applyFont="1" applyFill="1" applyBorder="1" applyAlignment="1">
      <alignment vertical="center" shrinkToFit="1"/>
    </xf>
    <xf numFmtId="182" fontId="37" fillId="0" borderId="37" xfId="13" applyNumberFormat="1" applyFont="1" applyFill="1" applyBorder="1" applyAlignment="1">
      <alignment vertical="center" shrinkToFit="1"/>
    </xf>
    <xf numFmtId="182" fontId="52" fillId="0" borderId="23" xfId="0" applyNumberFormat="1" applyFont="1" applyBorder="1">
      <alignment vertical="center"/>
    </xf>
    <xf numFmtId="182" fontId="37" fillId="0" borderId="23" xfId="14" applyNumberFormat="1" applyFont="1" applyFill="1" applyBorder="1" applyAlignment="1">
      <alignment horizontal="right" vertical="center" shrinkToFit="1"/>
    </xf>
    <xf numFmtId="182" fontId="54" fillId="12" borderId="19" xfId="17" applyNumberFormat="1" applyFont="1" applyFill="1" applyBorder="1" applyAlignment="1">
      <alignment horizontal="right" vertical="center"/>
    </xf>
    <xf numFmtId="182" fontId="55" fillId="0" borderId="8" xfId="0" applyNumberFormat="1" applyFont="1" applyBorder="1">
      <alignment vertical="center"/>
    </xf>
    <xf numFmtId="182" fontId="54" fillId="0" borderId="16" xfId="7" applyNumberFormat="1" applyFont="1" applyFill="1" applyBorder="1" applyAlignment="1">
      <alignment horizontal="right" vertical="center"/>
    </xf>
    <xf numFmtId="182" fontId="54" fillId="0" borderId="5" xfId="7" applyNumberFormat="1" applyFont="1" applyFill="1" applyBorder="1" applyAlignment="1">
      <alignment vertical="center"/>
    </xf>
    <xf numFmtId="182" fontId="54" fillId="0" borderId="5" xfId="7" applyNumberFormat="1" applyFont="1" applyFill="1" applyBorder="1" applyAlignment="1">
      <alignment horizontal="right" vertical="center"/>
    </xf>
    <xf numFmtId="182" fontId="42" fillId="0" borderId="5" xfId="18" applyNumberFormat="1" applyFont="1" applyFill="1" applyBorder="1" applyAlignment="1">
      <alignment horizontal="right" vertical="center"/>
    </xf>
    <xf numFmtId="182" fontId="42" fillId="0" borderId="118" xfId="18" applyNumberFormat="1" applyFont="1" applyFill="1" applyBorder="1" applyAlignment="1">
      <alignment horizontal="right" vertical="center"/>
    </xf>
    <xf numFmtId="182" fontId="42" fillId="0" borderId="37" xfId="18" applyNumberFormat="1" applyFont="1" applyFill="1" applyBorder="1" applyAlignment="1">
      <alignment horizontal="right" vertical="center"/>
    </xf>
    <xf numFmtId="182" fontId="42" fillId="0" borderId="36" xfId="18" applyNumberFormat="1" applyFont="1" applyFill="1" applyBorder="1" applyAlignment="1">
      <alignment horizontal="right" vertical="center"/>
    </xf>
    <xf numFmtId="182" fontId="54" fillId="0" borderId="30" xfId="7" applyNumberFormat="1" applyFont="1" applyFill="1" applyBorder="1" applyAlignment="1">
      <alignment horizontal="right" vertical="center"/>
    </xf>
    <xf numFmtId="182" fontId="42" fillId="0" borderId="119" xfId="18" applyNumberFormat="1" applyFont="1" applyFill="1" applyBorder="1" applyAlignment="1">
      <alignment horizontal="right" vertical="center"/>
    </xf>
    <xf numFmtId="182" fontId="42" fillId="0" borderId="29" xfId="18" applyNumberFormat="1" applyFont="1" applyFill="1" applyBorder="1" applyAlignment="1">
      <alignment horizontal="right" vertical="center"/>
    </xf>
    <xf numFmtId="182" fontId="42" fillId="0" borderId="37" xfId="18" applyNumberFormat="1" applyFont="1" applyFill="1" applyBorder="1" applyAlignment="1">
      <alignment vertical="center"/>
    </xf>
    <xf numFmtId="182" fontId="42" fillId="0" borderId="16" xfId="18" applyNumberFormat="1" applyFont="1" applyFill="1" applyBorder="1" applyAlignment="1">
      <alignment vertical="center"/>
    </xf>
    <xf numFmtId="182" fontId="42" fillId="0" borderId="16" xfId="18" applyNumberFormat="1" applyFont="1" applyFill="1" applyBorder="1" applyAlignment="1">
      <alignment horizontal="right" vertical="center"/>
    </xf>
    <xf numFmtId="182" fontId="42" fillId="0" borderId="16" xfId="16" applyNumberFormat="1" applyFont="1" applyFill="1" applyBorder="1" applyAlignment="1">
      <alignment horizontal="right" vertical="center"/>
    </xf>
    <xf numFmtId="182" fontId="42" fillId="0" borderId="30" xfId="18" applyNumberFormat="1" applyFont="1" applyFill="1" applyBorder="1" applyAlignment="1">
      <alignment horizontal="right" vertical="center"/>
    </xf>
    <xf numFmtId="182" fontId="54" fillId="0" borderId="30" xfId="18" applyNumberFormat="1" applyFont="1" applyFill="1" applyBorder="1" applyAlignment="1">
      <alignment horizontal="right" vertical="center"/>
    </xf>
    <xf numFmtId="182" fontId="54" fillId="0" borderId="30" xfId="7" applyNumberFormat="1" applyFont="1" applyFill="1" applyBorder="1" applyAlignment="1">
      <alignment vertical="center"/>
    </xf>
    <xf numFmtId="182" fontId="52" fillId="0" borderId="5" xfId="18" applyNumberFormat="1" applyFont="1" applyFill="1" applyBorder="1" applyAlignment="1">
      <alignment horizontal="right" vertical="center"/>
    </xf>
    <xf numFmtId="182" fontId="52" fillId="0" borderId="118" xfId="18" applyNumberFormat="1" applyFont="1" applyFill="1" applyBorder="1" applyAlignment="1">
      <alignment horizontal="right" vertical="center"/>
    </xf>
    <xf numFmtId="182" fontId="52" fillId="0" borderId="37" xfId="18" applyNumberFormat="1" applyFont="1" applyFill="1" applyBorder="1" applyAlignment="1">
      <alignment horizontal="right" vertical="center"/>
    </xf>
    <xf numFmtId="182" fontId="55" fillId="0" borderId="37" xfId="0" applyNumberFormat="1" applyFont="1" applyBorder="1">
      <alignment vertical="center"/>
    </xf>
    <xf numFmtId="182" fontId="52" fillId="0" borderId="119" xfId="18" applyNumberFormat="1" applyFont="1" applyFill="1" applyBorder="1" applyAlignment="1">
      <alignment horizontal="right" vertical="center"/>
    </xf>
    <xf numFmtId="182" fontId="52" fillId="0" borderId="36" xfId="18" applyNumberFormat="1" applyFont="1" applyFill="1" applyBorder="1" applyAlignment="1">
      <alignment horizontal="right" vertical="center"/>
    </xf>
    <xf numFmtId="182" fontId="52" fillId="0" borderId="29" xfId="18" applyNumberFormat="1" applyFont="1" applyFill="1" applyBorder="1" applyAlignment="1">
      <alignment horizontal="right" vertical="center"/>
    </xf>
    <xf numFmtId="182" fontId="52" fillId="0" borderId="30" xfId="18" applyNumberFormat="1" applyFont="1" applyFill="1" applyBorder="1" applyAlignment="1">
      <alignment horizontal="right" vertical="center"/>
    </xf>
    <xf numFmtId="182" fontId="52" fillId="0" borderId="5" xfId="17" applyNumberFormat="1" applyFont="1" applyBorder="1" applyAlignment="1">
      <alignment horizontal="right" vertical="center"/>
    </xf>
    <xf numFmtId="182" fontId="52" fillId="0" borderId="118" xfId="17" applyNumberFormat="1" applyFont="1" applyBorder="1" applyAlignment="1">
      <alignment horizontal="right" vertical="center"/>
    </xf>
    <xf numFmtId="182" fontId="52" fillId="0" borderId="36" xfId="17" applyNumberFormat="1" applyFont="1" applyBorder="1" applyAlignment="1">
      <alignment horizontal="right" vertical="center"/>
    </xf>
    <xf numFmtId="182" fontId="52" fillId="0" borderId="37" xfId="17" applyNumberFormat="1" applyFont="1" applyBorder="1" applyAlignment="1">
      <alignment horizontal="right" vertical="center"/>
    </xf>
    <xf numFmtId="182" fontId="52" fillId="0" borderId="16" xfId="17" applyNumberFormat="1" applyFont="1" applyBorder="1" applyAlignment="1">
      <alignment horizontal="right" vertical="center"/>
    </xf>
    <xf numFmtId="182" fontId="52" fillId="0" borderId="16" xfId="17" applyNumberFormat="1" applyFont="1" applyFill="1" applyBorder="1" applyAlignment="1">
      <alignment vertical="center"/>
    </xf>
    <xf numFmtId="182" fontId="52" fillId="0" borderId="37" xfId="17" applyNumberFormat="1" applyFont="1" applyBorder="1" applyAlignment="1">
      <alignment vertical="center"/>
    </xf>
    <xf numFmtId="182" fontId="52" fillId="0" borderId="36" xfId="17" applyNumberFormat="1" applyFont="1" applyBorder="1" applyAlignment="1">
      <alignment vertical="center"/>
    </xf>
    <xf numFmtId="182" fontId="55" fillId="0" borderId="30" xfId="7" applyNumberFormat="1" applyFont="1" applyFill="1" applyBorder="1" applyAlignment="1">
      <alignment vertical="center"/>
    </xf>
    <xf numFmtId="182" fontId="52" fillId="0" borderId="16" xfId="18" applyNumberFormat="1" applyFont="1" applyFill="1" applyBorder="1" applyAlignment="1">
      <alignment horizontal="right" vertical="center"/>
    </xf>
    <xf numFmtId="182" fontId="52" fillId="0" borderId="28" xfId="18" applyNumberFormat="1" applyFont="1" applyFill="1" applyBorder="1" applyAlignment="1">
      <alignment horizontal="right" vertical="center"/>
    </xf>
    <xf numFmtId="182" fontId="54" fillId="0" borderId="29" xfId="7" applyNumberFormat="1" applyFont="1" applyFill="1" applyBorder="1" applyAlignment="1">
      <alignment horizontal="right" vertical="center"/>
    </xf>
    <xf numFmtId="182" fontId="54" fillId="0" borderId="36" xfId="7" applyNumberFormat="1" applyFont="1" applyFill="1" applyBorder="1" applyAlignment="1">
      <alignment horizontal="right" vertical="center"/>
    </xf>
    <xf numFmtId="182" fontId="42" fillId="0" borderId="30" xfId="7" applyNumberFormat="1" applyFont="1" applyFill="1" applyBorder="1" applyAlignment="1">
      <alignment horizontal="right" vertical="center"/>
    </xf>
    <xf numFmtId="182" fontId="42" fillId="0" borderId="37" xfId="17" applyNumberFormat="1" applyFont="1" applyFill="1" applyBorder="1" applyAlignment="1">
      <alignment vertical="center"/>
    </xf>
    <xf numFmtId="182" fontId="52" fillId="0" borderId="37" xfId="17" applyNumberFormat="1" applyFont="1" applyFill="1" applyBorder="1" applyAlignment="1">
      <alignment vertical="center"/>
    </xf>
    <xf numFmtId="182" fontId="55" fillId="0" borderId="5" xfId="17" applyNumberFormat="1" applyFont="1" applyFill="1" applyBorder="1" applyAlignment="1">
      <alignment vertical="center"/>
    </xf>
    <xf numFmtId="182" fontId="52" fillId="0" borderId="5" xfId="17" applyNumberFormat="1" applyFont="1" applyFill="1" applyBorder="1" applyAlignment="1">
      <alignment vertical="center"/>
    </xf>
    <xf numFmtId="182" fontId="52" fillId="0" borderId="118" xfId="17" applyNumberFormat="1" applyFont="1" applyFill="1" applyBorder="1" applyAlignment="1">
      <alignment vertical="center"/>
    </xf>
    <xf numFmtId="182" fontId="52" fillId="0" borderId="23" xfId="17" applyNumberFormat="1" applyFont="1" applyFill="1" applyBorder="1" applyAlignment="1">
      <alignment vertical="center"/>
    </xf>
    <xf numFmtId="182" fontId="54" fillId="10" borderId="19" xfId="3" applyNumberFormat="1" applyFont="1" applyFill="1" applyBorder="1" applyAlignment="1">
      <alignment horizontal="right" vertical="center"/>
    </xf>
    <xf numFmtId="182" fontId="54" fillId="14" borderId="5" xfId="3" applyNumberFormat="1" applyFont="1" applyFill="1" applyBorder="1" applyAlignment="1">
      <alignment horizontal="right" vertical="center"/>
    </xf>
    <xf numFmtId="182" fontId="37" fillId="14" borderId="16" xfId="3" applyNumberFormat="1" applyFont="1" applyFill="1" applyBorder="1" applyAlignment="1">
      <alignment horizontal="right" vertical="center"/>
    </xf>
    <xf numFmtId="182" fontId="37" fillId="14" borderId="37" xfId="3" applyNumberFormat="1" applyFont="1" applyFill="1" applyBorder="1" applyAlignment="1">
      <alignment horizontal="right" vertical="center"/>
    </xf>
    <xf numFmtId="182" fontId="42" fillId="14" borderId="37" xfId="3" applyNumberFormat="1" applyFont="1" applyFill="1" applyBorder="1" applyAlignment="1">
      <alignment horizontal="right" vertical="center"/>
    </xf>
    <xf numFmtId="182" fontId="42" fillId="14" borderId="36" xfId="3" applyNumberFormat="1" applyFont="1" applyFill="1" applyBorder="1" applyAlignment="1">
      <alignment horizontal="right" vertical="center"/>
    </xf>
    <xf numFmtId="182" fontId="42" fillId="14" borderId="118" xfId="3" applyNumberFormat="1" applyFont="1" applyFill="1" applyBorder="1" applyAlignment="1">
      <alignment horizontal="right" vertical="center"/>
    </xf>
    <xf numFmtId="182" fontId="42" fillId="14" borderId="16" xfId="3" applyNumberFormat="1" applyFont="1" applyFill="1" applyBorder="1" applyAlignment="1">
      <alignment horizontal="right" vertical="center"/>
    </xf>
    <xf numFmtId="182" fontId="42" fillId="14" borderId="5" xfId="3" applyNumberFormat="1" applyFont="1" applyFill="1" applyBorder="1" applyAlignment="1">
      <alignment horizontal="right" vertical="center"/>
    </xf>
    <xf numFmtId="182" fontId="42" fillId="14" borderId="30" xfId="3" applyNumberFormat="1" applyFont="1" applyFill="1" applyBorder="1" applyAlignment="1">
      <alignment horizontal="right" vertical="center"/>
    </xf>
    <xf numFmtId="182" fontId="42" fillId="14" borderId="119" xfId="3" applyNumberFormat="1" applyFont="1" applyFill="1" applyBorder="1" applyAlignment="1">
      <alignment horizontal="right" vertical="center"/>
    </xf>
    <xf numFmtId="182" fontId="54" fillId="0" borderId="8" xfId="7" applyNumberFormat="1" applyFont="1" applyFill="1" applyBorder="1" applyAlignment="1">
      <alignment horizontal="right" vertical="center"/>
    </xf>
    <xf numFmtId="182" fontId="42" fillId="0" borderId="5" xfId="14" applyNumberFormat="1" applyFont="1" applyFill="1" applyBorder="1" applyAlignment="1">
      <alignment horizontal="right" vertical="center" shrinkToFit="1"/>
    </xf>
    <xf numFmtId="182" fontId="42" fillId="14" borderId="118" xfId="14" applyNumberFormat="1" applyFont="1" applyFill="1" applyBorder="1" applyAlignment="1">
      <alignment horizontal="right" vertical="center" shrinkToFit="1"/>
    </xf>
    <xf numFmtId="182" fontId="42" fillId="14" borderId="37" xfId="14" applyNumberFormat="1" applyFont="1" applyFill="1" applyBorder="1" applyAlignment="1">
      <alignment horizontal="right" vertical="center" shrinkToFit="1"/>
    </xf>
    <xf numFmtId="182" fontId="42" fillId="0" borderId="118" xfId="14" applyNumberFormat="1" applyFont="1" applyFill="1" applyBorder="1" applyAlignment="1">
      <alignment horizontal="right" vertical="center" shrinkToFit="1"/>
    </xf>
    <xf numFmtId="182" fontId="42" fillId="0" borderId="37" xfId="14" applyNumberFormat="1" applyFont="1" applyFill="1" applyBorder="1" applyAlignment="1">
      <alignment horizontal="right" vertical="center" shrinkToFit="1"/>
    </xf>
    <xf numFmtId="182" fontId="42" fillId="0" borderId="23" xfId="14" applyNumberFormat="1" applyFont="1" applyFill="1" applyBorder="1" applyAlignment="1">
      <alignment horizontal="right" vertical="center" shrinkToFit="1"/>
    </xf>
    <xf numFmtId="176" fontId="93" fillId="0" borderId="0" xfId="4" applyNumberFormat="1" applyFont="1" applyAlignment="1">
      <alignment horizontal="center"/>
    </xf>
    <xf numFmtId="41" fontId="93" fillId="0" borderId="0" xfId="3" applyFont="1" applyAlignment="1">
      <alignment horizontal="center"/>
    </xf>
    <xf numFmtId="178" fontId="93" fillId="0" borderId="0" xfId="3" applyNumberFormat="1" applyFont="1" applyAlignment="1">
      <alignment horizontal="center"/>
    </xf>
    <xf numFmtId="0" fontId="94" fillId="0" borderId="0" xfId="4" applyFont="1" applyAlignment="1">
      <alignment horizontal="right" vertical="center"/>
    </xf>
    <xf numFmtId="0" fontId="38" fillId="0" borderId="190" xfId="4" applyFont="1" applyBorder="1" applyAlignment="1">
      <alignment horizontal="left" vertical="center"/>
    </xf>
    <xf numFmtId="0" fontId="38" fillId="0" borderId="124" xfId="4" applyFont="1" applyBorder="1" applyAlignment="1">
      <alignment horizontal="left" vertical="center"/>
    </xf>
    <xf numFmtId="0" fontId="52" fillId="0" borderId="5" xfId="4" applyFont="1" applyBorder="1" applyAlignment="1">
      <alignment horizontal="left" vertical="center"/>
    </xf>
    <xf numFmtId="0" fontId="38" fillId="0" borderId="124" xfId="4" applyFont="1" applyBorder="1" applyAlignment="1">
      <alignment horizontal="center" vertical="center"/>
    </xf>
    <xf numFmtId="0" fontId="37" fillId="0" borderId="5" xfId="4" applyFont="1" applyBorder="1" applyAlignment="1">
      <alignment vertical="center"/>
    </xf>
    <xf numFmtId="0" fontId="38" fillId="0" borderId="26" xfId="4" applyFont="1" applyBorder="1" applyAlignment="1">
      <alignment vertical="center"/>
    </xf>
    <xf numFmtId="0" fontId="52" fillId="0" borderId="13" xfId="4" applyFont="1" applyBorder="1" applyAlignment="1">
      <alignment horizontal="left" vertical="center"/>
    </xf>
    <xf numFmtId="0" fontId="37" fillId="0" borderId="120" xfId="4" applyFont="1" applyBorder="1" applyAlignment="1">
      <alignment horizontal="center" vertical="center"/>
    </xf>
    <xf numFmtId="180" fontId="37" fillId="5" borderId="120" xfId="0" applyNumberFormat="1" applyFont="1" applyFill="1" applyBorder="1" applyAlignment="1">
      <alignment vertical="center"/>
    </xf>
    <xf numFmtId="0" fontId="52" fillId="0" borderId="120" xfId="4" applyFont="1" applyBorder="1" applyAlignment="1">
      <alignment horizontal="left" vertical="center"/>
    </xf>
    <xf numFmtId="0" fontId="52" fillId="0" borderId="181" xfId="4" applyFont="1" applyBorder="1" applyAlignment="1">
      <alignment horizontal="left" vertical="center"/>
    </xf>
    <xf numFmtId="0" fontId="0" fillId="0" borderId="20" xfId="0" applyBorder="1">
      <alignment vertical="center"/>
    </xf>
    <xf numFmtId="0" fontId="0" fillId="0" borderId="191" xfId="0" applyBorder="1">
      <alignment vertical="center"/>
    </xf>
    <xf numFmtId="0" fontId="0" fillId="0" borderId="192" xfId="0" applyBorder="1">
      <alignment vertical="center"/>
    </xf>
    <xf numFmtId="0" fontId="37" fillId="0" borderId="23" xfId="4" applyFont="1" applyBorder="1" applyAlignment="1">
      <alignment horizontal="center" vertical="center"/>
    </xf>
    <xf numFmtId="41" fontId="0" fillId="0" borderId="23" xfId="0" applyNumberFormat="1" applyBorder="1">
      <alignment vertical="center"/>
    </xf>
    <xf numFmtId="41" fontId="0" fillId="0" borderId="13" xfId="0" applyNumberFormat="1" applyBorder="1">
      <alignment vertical="center"/>
    </xf>
    <xf numFmtId="177" fontId="38" fillId="4" borderId="19" xfId="3" applyNumberFormat="1" applyFont="1" applyFill="1" applyBorder="1" applyAlignment="1">
      <alignment horizontal="right" vertical="center"/>
    </xf>
    <xf numFmtId="177" fontId="38" fillId="5" borderId="8" xfId="3" applyNumberFormat="1" applyFont="1" applyFill="1" applyBorder="1" applyAlignment="1">
      <alignment vertical="center"/>
    </xf>
    <xf numFmtId="177" fontId="38" fillId="5" borderId="16" xfId="3" applyNumberFormat="1" applyFont="1" applyFill="1" applyBorder="1" applyAlignment="1">
      <alignment vertical="center"/>
    </xf>
    <xf numFmtId="177" fontId="38" fillId="6" borderId="5" xfId="3" applyNumberFormat="1" applyFont="1" applyFill="1" applyBorder="1" applyAlignment="1">
      <alignment vertical="center"/>
    </xf>
    <xf numFmtId="177" fontId="38" fillId="5" borderId="5" xfId="3" applyNumberFormat="1" applyFont="1" applyFill="1" applyBorder="1" applyAlignment="1">
      <alignment vertical="center"/>
    </xf>
    <xf numFmtId="177" fontId="38" fillId="5" borderId="118" xfId="3" applyNumberFormat="1" applyFont="1" applyFill="1" applyBorder="1" applyAlignment="1">
      <alignment vertical="center"/>
    </xf>
    <xf numFmtId="177" fontId="37" fillId="5" borderId="118" xfId="3" applyNumberFormat="1" applyFont="1" applyFill="1" applyBorder="1" applyAlignment="1">
      <alignment vertical="center"/>
    </xf>
    <xf numFmtId="177" fontId="38" fillId="7" borderId="5" xfId="3" applyNumberFormat="1" applyFont="1" applyFill="1" applyBorder="1" applyAlignment="1">
      <alignment vertical="center"/>
    </xf>
    <xf numFmtId="177" fontId="37" fillId="5" borderId="5" xfId="3" applyNumberFormat="1" applyFont="1" applyFill="1" applyBorder="1" applyAlignment="1">
      <alignment vertical="center"/>
    </xf>
    <xf numFmtId="177" fontId="38" fillId="8" borderId="5" xfId="3" applyNumberFormat="1" applyFont="1" applyFill="1" applyBorder="1" applyAlignment="1">
      <alignment vertical="center"/>
    </xf>
    <xf numFmtId="177" fontId="38" fillId="9" borderId="5" xfId="3" applyNumberFormat="1" applyFont="1" applyFill="1" applyBorder="1" applyAlignment="1">
      <alignment vertical="center"/>
    </xf>
    <xf numFmtId="177" fontId="38" fillId="0" borderId="118" xfId="3" applyNumberFormat="1" applyFont="1" applyFill="1" applyBorder="1" applyAlignment="1">
      <alignment vertical="center"/>
    </xf>
    <xf numFmtId="177" fontId="37" fillId="0" borderId="118" xfId="3" applyNumberFormat="1" applyFont="1" applyFill="1" applyBorder="1" applyAlignment="1">
      <alignment vertical="center"/>
    </xf>
    <xf numFmtId="177" fontId="37" fillId="5" borderId="13" xfId="3" applyNumberFormat="1" applyFont="1" applyFill="1" applyBorder="1" applyAlignment="1">
      <alignment vertical="center"/>
    </xf>
    <xf numFmtId="177" fontId="38" fillId="10" borderId="19" xfId="3" applyNumberFormat="1" applyFont="1" applyFill="1" applyBorder="1" applyAlignment="1">
      <alignment horizontal="right" vertical="center"/>
    </xf>
    <xf numFmtId="177" fontId="38" fillId="14" borderId="8" xfId="3" applyNumberFormat="1" applyFont="1" applyFill="1" applyBorder="1" applyAlignment="1">
      <alignment vertical="center"/>
    </xf>
    <xf numFmtId="177" fontId="38" fillId="14" borderId="16" xfId="3" applyNumberFormat="1" applyFont="1" applyFill="1" applyBorder="1" applyAlignment="1">
      <alignment vertical="center"/>
    </xf>
    <xf numFmtId="177" fontId="38" fillId="15" borderId="5" xfId="3" applyNumberFormat="1" applyFont="1" applyFill="1" applyBorder="1" applyAlignment="1">
      <alignment vertical="center"/>
    </xf>
    <xf numFmtId="177" fontId="38" fillId="14" borderId="5" xfId="3" applyNumberFormat="1" applyFont="1" applyFill="1" applyBorder="1" applyAlignment="1">
      <alignment vertical="center"/>
    </xf>
    <xf numFmtId="177" fontId="38" fillId="14" borderId="118" xfId="3" applyNumberFormat="1" applyFont="1" applyFill="1" applyBorder="1" applyAlignment="1">
      <alignment vertical="center"/>
    </xf>
    <xf numFmtId="177" fontId="37" fillId="14" borderId="118" xfId="3" applyNumberFormat="1" applyFont="1" applyFill="1" applyBorder="1" applyAlignment="1">
      <alignment vertical="center"/>
    </xf>
    <xf numFmtId="177" fontId="38" fillId="16" borderId="5" xfId="3" applyNumberFormat="1" applyFont="1" applyFill="1" applyBorder="1" applyAlignment="1">
      <alignment vertical="center"/>
    </xf>
    <xf numFmtId="177" fontId="37" fillId="14" borderId="5" xfId="3" applyNumberFormat="1" applyFont="1" applyFill="1" applyBorder="1" applyAlignment="1">
      <alignment vertical="center"/>
    </xf>
    <xf numFmtId="177" fontId="38" fillId="17" borderId="5" xfId="3" applyNumberFormat="1" applyFont="1" applyFill="1" applyBorder="1" applyAlignment="1">
      <alignment vertical="center"/>
    </xf>
    <xf numFmtId="177" fontId="38" fillId="18" borderId="5" xfId="3" applyNumberFormat="1" applyFont="1" applyFill="1" applyBorder="1" applyAlignment="1">
      <alignment vertical="center"/>
    </xf>
    <xf numFmtId="193" fontId="38" fillId="14" borderId="8" xfId="3" applyNumberFormat="1" applyFont="1" applyFill="1" applyBorder="1" applyAlignment="1">
      <alignment vertical="center"/>
    </xf>
    <xf numFmtId="177" fontId="37" fillId="14" borderId="13" xfId="3" applyNumberFormat="1" applyFont="1" applyFill="1" applyBorder="1" applyAlignment="1">
      <alignment vertical="center"/>
    </xf>
    <xf numFmtId="180" fontId="37" fillId="5" borderId="147" xfId="0" applyNumberFormat="1" applyFont="1" applyFill="1" applyBorder="1" applyAlignment="1">
      <alignment horizontal="center" vertical="center" wrapText="1"/>
    </xf>
    <xf numFmtId="180" fontId="37" fillId="5" borderId="37" xfId="0" applyNumberFormat="1" applyFont="1" applyFill="1" applyBorder="1" applyAlignment="1">
      <alignment horizontal="center" vertical="center" wrapText="1"/>
    </xf>
    <xf numFmtId="180" fontId="37" fillId="5" borderId="30" xfId="0" applyNumberFormat="1" applyFont="1" applyFill="1" applyBorder="1" applyAlignment="1">
      <alignment horizontal="left" vertical="center"/>
    </xf>
    <xf numFmtId="0" fontId="42" fillId="0" borderId="37" xfId="6" applyNumberFormat="1" applyFont="1" applyFill="1" applyBorder="1" applyAlignment="1">
      <alignment horizontal="left" vertical="center" wrapText="1"/>
    </xf>
    <xf numFmtId="177" fontId="37" fillId="5" borderId="11" xfId="3" applyNumberFormat="1" applyFont="1" applyFill="1" applyBorder="1" applyAlignment="1">
      <alignment horizontal="right" vertical="center" shrinkToFit="1"/>
    </xf>
    <xf numFmtId="41" fontId="0" fillId="0" borderId="39" xfId="0" applyNumberFormat="1" applyBorder="1">
      <alignment vertical="center"/>
    </xf>
    <xf numFmtId="41" fontId="0" fillId="0" borderId="8" xfId="0" applyNumberFormat="1" applyBorder="1">
      <alignment vertical="center"/>
    </xf>
    <xf numFmtId="41" fontId="0" fillId="0" borderId="118" xfId="0" applyNumberFormat="1" applyBorder="1">
      <alignment vertical="center"/>
    </xf>
    <xf numFmtId="177" fontId="55" fillId="0" borderId="101" xfId="0" applyNumberFormat="1" applyFont="1" applyBorder="1">
      <alignment vertical="center"/>
    </xf>
    <xf numFmtId="177" fontId="55" fillId="0" borderId="30" xfId="0" applyNumberFormat="1" applyFont="1" applyBorder="1">
      <alignment vertical="center"/>
    </xf>
    <xf numFmtId="182" fontId="38" fillId="4" borderId="19" xfId="3" applyNumberFormat="1" applyFont="1" applyFill="1" applyBorder="1" applyAlignment="1">
      <alignment horizontal="right" vertical="center"/>
    </xf>
    <xf numFmtId="182" fontId="38" fillId="10" borderId="19" xfId="3" applyNumberFormat="1" applyFont="1" applyFill="1" applyBorder="1" applyAlignment="1">
      <alignment horizontal="right" vertical="center"/>
    </xf>
    <xf numFmtId="182" fontId="55" fillId="0" borderId="8" xfId="0" applyNumberFormat="1" applyFont="1" applyBorder="1" applyAlignment="1">
      <alignment vertical="center"/>
    </xf>
    <xf numFmtId="182" fontId="38" fillId="14" borderId="8" xfId="3" applyNumberFormat="1" applyFont="1" applyFill="1" applyBorder="1" applyAlignment="1">
      <alignment vertical="center"/>
    </xf>
    <xf numFmtId="182" fontId="55" fillId="0" borderId="37" xfId="0" applyNumberFormat="1" applyFont="1" applyBorder="1" applyAlignment="1">
      <alignment vertical="center"/>
    </xf>
    <xf numFmtId="182" fontId="38" fillId="14" borderId="16" xfId="3" applyNumberFormat="1" applyFont="1" applyFill="1" applyBorder="1" applyAlignment="1">
      <alignment vertical="center"/>
    </xf>
    <xf numFmtId="182" fontId="55" fillId="0" borderId="5" xfId="0" applyNumberFormat="1" applyFont="1" applyBorder="1" applyAlignment="1">
      <alignment vertical="center"/>
    </xf>
    <xf numFmtId="182" fontId="38" fillId="14" borderId="5" xfId="3" applyNumberFormat="1" applyFont="1" applyFill="1" applyBorder="1" applyAlignment="1">
      <alignment vertical="center"/>
    </xf>
    <xf numFmtId="182" fontId="38" fillId="14" borderId="118" xfId="3" applyNumberFormat="1" applyFont="1" applyFill="1" applyBorder="1" applyAlignment="1">
      <alignment vertical="center"/>
    </xf>
    <xf numFmtId="182" fontId="52" fillId="0" borderId="37" xfId="0" applyNumberFormat="1" applyFont="1" applyBorder="1" applyAlignment="1">
      <alignment vertical="center"/>
    </xf>
    <xf numFmtId="182" fontId="37" fillId="14" borderId="37" xfId="3" applyNumberFormat="1" applyFont="1" applyFill="1" applyBorder="1" applyAlignment="1">
      <alignment vertical="center"/>
    </xf>
    <xf numFmtId="182" fontId="52" fillId="0" borderId="16" xfId="0" applyNumberFormat="1" applyFont="1" applyBorder="1" applyAlignment="1">
      <alignment vertical="center"/>
    </xf>
    <xf numFmtId="182" fontId="52" fillId="0" borderId="5" xfId="0" applyNumberFormat="1" applyFont="1" applyBorder="1" applyAlignment="1">
      <alignment vertical="center"/>
    </xf>
    <xf numFmtId="182" fontId="37" fillId="14" borderId="5" xfId="3" applyNumberFormat="1" applyFont="1" applyFill="1" applyBorder="1" applyAlignment="1">
      <alignment vertical="center"/>
    </xf>
    <xf numFmtId="182" fontId="37" fillId="14" borderId="16" xfId="3" applyNumberFormat="1" applyFont="1" applyFill="1" applyBorder="1" applyAlignment="1">
      <alignment vertical="center"/>
    </xf>
    <xf numFmtId="182" fontId="37" fillId="14" borderId="148" xfId="3" applyNumberFormat="1" applyFont="1" applyFill="1" applyBorder="1" applyAlignment="1">
      <alignment vertical="center"/>
    </xf>
    <xf numFmtId="182" fontId="52" fillId="0" borderId="23" xfId="0" applyNumberFormat="1" applyFont="1" applyBorder="1" applyAlignment="1">
      <alignment vertical="center"/>
    </xf>
    <xf numFmtId="182" fontId="37" fillId="14" borderId="23" xfId="3" applyNumberFormat="1" applyFont="1" applyFill="1" applyBorder="1" applyAlignment="1">
      <alignment vertical="center"/>
    </xf>
    <xf numFmtId="182" fontId="38" fillId="14" borderId="37" xfId="3" applyNumberFormat="1" applyFont="1" applyFill="1" applyBorder="1" applyAlignment="1">
      <alignment vertical="center"/>
    </xf>
    <xf numFmtId="182" fontId="55" fillId="0" borderId="16" xfId="0" applyNumberFormat="1" applyFont="1" applyBorder="1" applyAlignment="1">
      <alignment vertical="center"/>
    </xf>
    <xf numFmtId="182" fontId="55" fillId="0" borderId="118" xfId="0" applyNumberFormat="1" applyFont="1" applyBorder="1" applyAlignment="1">
      <alignment vertical="center"/>
    </xf>
    <xf numFmtId="41" fontId="0" fillId="0" borderId="0" xfId="0" applyNumberFormat="1" applyBorder="1">
      <alignment vertical="center"/>
    </xf>
    <xf numFmtId="41" fontId="0" fillId="0" borderId="17" xfId="0" applyNumberFormat="1" applyBorder="1">
      <alignment vertical="center"/>
    </xf>
    <xf numFmtId="41" fontId="0" fillId="0" borderId="38" xfId="0" applyNumberFormat="1" applyFill="1" applyBorder="1">
      <alignment vertical="center"/>
    </xf>
    <xf numFmtId="41" fontId="0" fillId="0" borderId="11" xfId="0" applyNumberFormat="1" applyBorder="1">
      <alignment vertical="center"/>
    </xf>
    <xf numFmtId="41" fontId="0" fillId="0" borderId="145" xfId="0" applyNumberFormat="1" applyBorder="1">
      <alignment vertical="center"/>
    </xf>
    <xf numFmtId="41" fontId="0" fillId="0" borderId="24" xfId="0" applyNumberFormat="1" applyBorder="1">
      <alignment vertical="center"/>
    </xf>
    <xf numFmtId="41" fontId="0" fillId="0" borderId="14" xfId="0" applyNumberFormat="1" applyBorder="1">
      <alignment vertical="center"/>
    </xf>
    <xf numFmtId="182" fontId="0" fillId="0" borderId="41" xfId="0" applyNumberFormat="1" applyBorder="1">
      <alignment vertical="center"/>
    </xf>
    <xf numFmtId="41" fontId="95" fillId="0" borderId="0" xfId="0" applyNumberFormat="1" applyFont="1" applyBorder="1">
      <alignment vertical="center"/>
    </xf>
    <xf numFmtId="41" fontId="95" fillId="0" borderId="39" xfId="0" applyNumberFormat="1" applyFont="1" applyBorder="1">
      <alignment vertical="center"/>
    </xf>
    <xf numFmtId="41" fontId="0" fillId="0" borderId="110" xfId="0" applyNumberFormat="1" applyBorder="1">
      <alignment vertical="center"/>
    </xf>
    <xf numFmtId="41" fontId="0" fillId="0" borderId="138" xfId="0" applyNumberFormat="1" applyBorder="1">
      <alignment vertical="center"/>
    </xf>
    <xf numFmtId="41" fontId="0" fillId="0" borderId="137" xfId="0" applyNumberFormat="1" applyBorder="1">
      <alignment vertical="center"/>
    </xf>
    <xf numFmtId="41" fontId="0" fillId="0" borderId="132" xfId="0" applyNumberFormat="1" applyBorder="1">
      <alignment vertical="center"/>
    </xf>
    <xf numFmtId="41" fontId="0" fillId="0" borderId="139" xfId="0" applyNumberFormat="1" applyBorder="1">
      <alignment vertical="center"/>
    </xf>
    <xf numFmtId="41" fontId="0" fillId="0" borderId="58" xfId="0" applyNumberFormat="1" applyBorder="1">
      <alignment vertical="center"/>
    </xf>
    <xf numFmtId="41" fontId="0" fillId="0" borderId="141" xfId="0" applyNumberFormat="1" applyBorder="1">
      <alignment vertical="center"/>
    </xf>
    <xf numFmtId="41" fontId="0" fillId="0" borderId="91" xfId="0" applyNumberFormat="1" applyBorder="1">
      <alignment vertical="center"/>
    </xf>
    <xf numFmtId="41" fontId="0" fillId="0" borderId="134" xfId="0" applyNumberFormat="1" applyBorder="1">
      <alignment vertical="center"/>
    </xf>
    <xf numFmtId="41" fontId="0" fillId="0" borderId="140" xfId="0" applyNumberFormat="1" applyBorder="1">
      <alignment vertical="center"/>
    </xf>
    <xf numFmtId="41" fontId="0" fillId="0" borderId="133" xfId="0" applyNumberFormat="1" applyBorder="1">
      <alignment vertical="center"/>
    </xf>
    <xf numFmtId="41" fontId="97" fillId="0" borderId="135" xfId="0" applyNumberFormat="1" applyFont="1" applyBorder="1">
      <alignment vertical="center"/>
    </xf>
    <xf numFmtId="41" fontId="97" fillId="0" borderId="90" xfId="0" applyNumberFormat="1" applyFont="1" applyBorder="1">
      <alignment vertical="center"/>
    </xf>
    <xf numFmtId="41" fontId="0" fillId="0" borderId="36" xfId="0" applyNumberFormat="1" applyBorder="1">
      <alignment vertical="center"/>
    </xf>
    <xf numFmtId="41" fontId="0" fillId="0" borderId="9" xfId="0" applyNumberFormat="1" applyBorder="1">
      <alignment vertical="center"/>
    </xf>
    <xf numFmtId="41" fontId="0" fillId="0" borderId="38" xfId="0" applyNumberFormat="1" applyBorder="1">
      <alignment vertical="center"/>
    </xf>
    <xf numFmtId="182" fontId="0" fillId="0" borderId="28" xfId="0" applyNumberFormat="1" applyBorder="1">
      <alignment vertical="center"/>
    </xf>
    <xf numFmtId="182" fontId="0" fillId="0" borderId="113" xfId="0" applyNumberFormat="1" applyBorder="1">
      <alignment vertical="center"/>
    </xf>
    <xf numFmtId="182" fontId="0" fillId="0" borderId="20" xfId="0" applyNumberFormat="1" applyBorder="1">
      <alignment vertical="center"/>
    </xf>
    <xf numFmtId="41" fontId="0" fillId="0" borderId="105" xfId="0" applyNumberFormat="1" applyFont="1" applyBorder="1">
      <alignment vertical="center"/>
    </xf>
    <xf numFmtId="41" fontId="21" fillId="0" borderId="103" xfId="0" applyNumberFormat="1" applyFont="1" applyBorder="1">
      <alignment vertical="center"/>
    </xf>
    <xf numFmtId="41" fontId="0" fillId="0" borderId="104" xfId="0" applyNumberFormat="1" applyFont="1" applyBorder="1">
      <alignment vertical="center"/>
    </xf>
    <xf numFmtId="41" fontId="0" fillId="0" borderId="106" xfId="0" applyNumberFormat="1" applyFont="1" applyBorder="1">
      <alignment vertical="center"/>
    </xf>
    <xf numFmtId="41" fontId="0" fillId="0" borderId="107" xfId="0" applyNumberFormat="1" applyFont="1" applyBorder="1">
      <alignment vertical="center"/>
    </xf>
    <xf numFmtId="41" fontId="21" fillId="0" borderId="98" xfId="0" applyNumberFormat="1" applyFont="1" applyBorder="1">
      <alignment vertical="center"/>
    </xf>
    <xf numFmtId="41" fontId="0" fillId="0" borderId="77" xfId="0" applyNumberFormat="1" applyFont="1" applyBorder="1">
      <alignment vertical="center"/>
    </xf>
    <xf numFmtId="41" fontId="0" fillId="0" borderId="74" xfId="0" applyNumberFormat="1" applyFont="1" applyBorder="1">
      <alignment vertical="center"/>
    </xf>
    <xf numFmtId="41" fontId="0" fillId="0" borderId="99" xfId="0" applyNumberFormat="1" applyFont="1" applyBorder="1">
      <alignment vertical="center"/>
    </xf>
    <xf numFmtId="41" fontId="0" fillId="0" borderId="100" xfId="0" applyNumberFormat="1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1" fontId="0" fillId="0" borderId="70" xfId="0" applyNumberFormat="1" applyBorder="1">
      <alignment vertical="center"/>
    </xf>
    <xf numFmtId="41" fontId="0" fillId="0" borderId="63" xfId="0" applyNumberFormat="1" applyBorder="1">
      <alignment vertical="center"/>
    </xf>
    <xf numFmtId="41" fontId="0" fillId="0" borderId="35" xfId="0" applyNumberFormat="1" applyBorder="1">
      <alignment vertical="center"/>
    </xf>
    <xf numFmtId="41" fontId="0" fillId="0" borderId="66" xfId="0" applyNumberFormat="1" applyBorder="1">
      <alignment vertical="center"/>
    </xf>
    <xf numFmtId="41" fontId="0" fillId="0" borderId="52" xfId="0" applyNumberFormat="1" applyBorder="1">
      <alignment vertical="center"/>
    </xf>
    <xf numFmtId="41" fontId="0" fillId="0" borderId="53" xfId="0" applyNumberFormat="1" applyBorder="1">
      <alignment vertical="center"/>
    </xf>
    <xf numFmtId="41" fontId="0" fillId="0" borderId="193" xfId="0" applyNumberFormat="1" applyBorder="1">
      <alignment vertical="center"/>
    </xf>
    <xf numFmtId="0" fontId="98" fillId="0" borderId="18" xfId="4" applyFont="1" applyBorder="1" applyAlignment="1">
      <alignment horizontal="center" vertical="center"/>
    </xf>
    <xf numFmtId="0" fontId="98" fillId="0" borderId="16" xfId="4" applyFont="1" applyBorder="1" applyAlignment="1">
      <alignment vertical="center"/>
    </xf>
    <xf numFmtId="41" fontId="97" fillId="0" borderId="16" xfId="0" applyNumberFormat="1" applyFont="1" applyBorder="1">
      <alignment vertical="center"/>
    </xf>
    <xf numFmtId="41" fontId="21" fillId="0" borderId="46" xfId="0" applyNumberFormat="1" applyFont="1" applyBorder="1">
      <alignment vertical="center"/>
    </xf>
    <xf numFmtId="177" fontId="21" fillId="0" borderId="46" xfId="0" applyNumberFormat="1" applyFont="1" applyBorder="1">
      <alignment vertical="center"/>
    </xf>
    <xf numFmtId="41" fontId="21" fillId="0" borderId="16" xfId="0" applyNumberFormat="1" applyFont="1" applyBorder="1">
      <alignment vertical="center"/>
    </xf>
    <xf numFmtId="177" fontId="21" fillId="0" borderId="16" xfId="0" applyNumberFormat="1" applyFont="1" applyBorder="1">
      <alignment vertical="center"/>
    </xf>
    <xf numFmtId="41" fontId="21" fillId="0" borderId="5" xfId="0" applyNumberFormat="1" applyFont="1" applyBorder="1">
      <alignment vertical="center"/>
    </xf>
    <xf numFmtId="177" fontId="21" fillId="0" borderId="5" xfId="0" applyNumberFormat="1" applyFont="1" applyBorder="1">
      <alignment vertical="center"/>
    </xf>
    <xf numFmtId="41" fontId="0" fillId="0" borderId="81" xfId="0" applyNumberFormat="1" applyBorder="1">
      <alignment vertical="center"/>
    </xf>
    <xf numFmtId="177" fontId="38" fillId="5" borderId="14" xfId="3" applyNumberFormat="1" applyFont="1" applyFill="1" applyBorder="1" applyAlignment="1">
      <alignment horizontal="right" vertical="center" shrinkToFit="1"/>
    </xf>
    <xf numFmtId="0" fontId="70" fillId="0" borderId="73" xfId="6" applyNumberFormat="1" applyFont="1" applyFill="1" applyBorder="1" applyAlignment="1">
      <alignment horizontal="left" vertical="center"/>
    </xf>
    <xf numFmtId="0" fontId="70" fillId="0" borderId="39" xfId="6" applyNumberFormat="1" applyFont="1" applyFill="1" applyBorder="1" applyAlignment="1">
      <alignment horizontal="left" vertical="center"/>
    </xf>
    <xf numFmtId="0" fontId="42" fillId="0" borderId="39" xfId="16" applyNumberFormat="1" applyFont="1" applyFill="1" applyBorder="1" applyAlignment="1">
      <alignment horizontal="center" vertical="center"/>
    </xf>
    <xf numFmtId="0" fontId="42" fillId="0" borderId="39" xfId="7" applyNumberFormat="1" applyFont="1" applyFill="1" applyBorder="1" applyAlignment="1">
      <alignment horizontal="left" vertical="center"/>
    </xf>
    <xf numFmtId="0" fontId="54" fillId="0" borderId="39" xfId="7" applyNumberFormat="1" applyFont="1" applyFill="1" applyBorder="1" applyAlignment="1">
      <alignment vertical="center"/>
    </xf>
    <xf numFmtId="41" fontId="86" fillId="0" borderId="39" xfId="10" applyFont="1" applyFill="1" applyBorder="1">
      <alignment vertical="center"/>
    </xf>
    <xf numFmtId="0" fontId="42" fillId="0" borderId="39" xfId="16" applyNumberFormat="1" applyFont="1" applyFill="1" applyBorder="1"/>
    <xf numFmtId="0" fontId="42" fillId="0" borderId="81" xfId="5" applyNumberFormat="1" applyFont="1" applyFill="1" applyBorder="1" applyAlignment="1">
      <alignment vertical="center"/>
    </xf>
    <xf numFmtId="0" fontId="42" fillId="0" borderId="39" xfId="16" applyNumberFormat="1" applyFont="1" applyFill="1" applyBorder="1" applyAlignment="1">
      <alignment horizontal="left" vertical="center" wrapText="1"/>
    </xf>
    <xf numFmtId="0" fontId="42" fillId="0" borderId="150" xfId="16" applyNumberFormat="1" applyFont="1" applyFill="1" applyBorder="1"/>
    <xf numFmtId="0" fontId="42" fillId="0" borderId="30" xfId="5" applyNumberFormat="1" applyFont="1" applyFill="1" applyBorder="1" applyAlignment="1">
      <alignment vertical="center"/>
    </xf>
    <xf numFmtId="0" fontId="54" fillId="0" borderId="98" xfId="16" applyNumberFormat="1" applyFont="1" applyFill="1" applyBorder="1" applyAlignment="1">
      <alignment horizontal="left" vertical="center" wrapText="1"/>
    </xf>
    <xf numFmtId="0" fontId="42" fillId="0" borderId="39" xfId="7" applyNumberFormat="1" applyFont="1" applyFill="1" applyBorder="1" applyAlignment="1">
      <alignment horizontal="left" vertical="center" wrapText="1"/>
    </xf>
    <xf numFmtId="0" fontId="58" fillId="0" borderId="81" xfId="16" applyNumberFormat="1" applyFont="1" applyFill="1" applyBorder="1" applyAlignment="1">
      <alignment vertical="center"/>
    </xf>
    <xf numFmtId="0" fontId="42" fillId="0" borderId="81" xfId="16" applyNumberFormat="1" applyFont="1" applyFill="1" applyBorder="1" applyAlignment="1">
      <alignment vertical="center"/>
    </xf>
    <xf numFmtId="0" fontId="59" fillId="0" borderId="39" xfId="16" applyNumberFormat="1" applyFont="1" applyFill="1" applyBorder="1" applyAlignment="1">
      <alignment vertical="center"/>
    </xf>
    <xf numFmtId="0" fontId="59" fillId="0" borderId="39" xfId="16" applyFont="1" applyFill="1" applyBorder="1" applyAlignment="1">
      <alignment vertical="center"/>
    </xf>
    <xf numFmtId="0" fontId="37" fillId="0" borderId="39" xfId="16" applyFont="1" applyFill="1" applyBorder="1"/>
    <xf numFmtId="0" fontId="58" fillId="0" borderId="39" xfId="16" applyFont="1" applyFill="1" applyBorder="1" applyAlignment="1">
      <alignment vertical="center"/>
    </xf>
    <xf numFmtId="0" fontId="37" fillId="0" borderId="39" xfId="16" applyFont="1" applyFill="1" applyBorder="1" applyAlignment="1">
      <alignment vertical="center"/>
    </xf>
    <xf numFmtId="0" fontId="52" fillId="0" borderId="39" xfId="5" applyFont="1" applyFill="1" applyBorder="1" applyAlignment="1">
      <alignment vertical="center"/>
    </xf>
    <xf numFmtId="0" fontId="42" fillId="0" borderId="39" xfId="6" applyNumberFormat="1" applyFont="1" applyBorder="1" applyAlignment="1">
      <alignment vertical="center"/>
    </xf>
    <xf numFmtId="0" fontId="52" fillId="0" borderId="41" xfId="5" applyFont="1" applyFill="1" applyBorder="1" applyAlignment="1">
      <alignment vertical="center"/>
    </xf>
    <xf numFmtId="0" fontId="38" fillId="0" borderId="147" xfId="7" applyNumberFormat="1" applyFont="1" applyFill="1" applyBorder="1" applyAlignment="1">
      <alignment horizontal="left" vertical="center"/>
    </xf>
    <xf numFmtId="0" fontId="52" fillId="0" borderId="147" xfId="5" quotePrefix="1" applyNumberFormat="1" applyFont="1" applyFill="1" applyBorder="1" applyAlignment="1">
      <alignment horizontal="justify" vertical="center" wrapText="1"/>
    </xf>
    <xf numFmtId="0" fontId="57" fillId="0" borderId="37" xfId="6" applyNumberFormat="1" applyFont="1" applyFill="1" applyBorder="1" applyAlignment="1">
      <alignment vertical="center"/>
    </xf>
    <xf numFmtId="0" fontId="38" fillId="0" borderId="37" xfId="6" applyNumberFormat="1" applyFont="1" applyFill="1" applyBorder="1" applyAlignment="1">
      <alignment vertical="center"/>
    </xf>
    <xf numFmtId="0" fontId="37" fillId="0" borderId="147" xfId="4" applyFont="1" applyFill="1" applyBorder="1" applyAlignment="1">
      <alignment vertical="center" shrinkToFit="1"/>
    </xf>
    <xf numFmtId="0" fontId="52" fillId="0" borderId="147" xfId="4" applyFont="1" applyFill="1" applyBorder="1" applyAlignment="1">
      <alignment vertical="center" shrinkToFit="1"/>
    </xf>
    <xf numFmtId="0" fontId="52" fillId="5" borderId="147" xfId="4" applyFont="1" applyFill="1" applyBorder="1" applyAlignment="1">
      <alignment vertical="center" shrinkToFit="1"/>
    </xf>
    <xf numFmtId="180" fontId="52" fillId="0" borderId="113" xfId="3" applyNumberFormat="1" applyFont="1" applyBorder="1" applyAlignment="1">
      <alignment vertical="center"/>
    </xf>
    <xf numFmtId="182" fontId="52" fillId="0" borderId="149" xfId="0" applyNumberFormat="1" applyFont="1" applyBorder="1">
      <alignment vertical="center"/>
    </xf>
    <xf numFmtId="182" fontId="52" fillId="0" borderId="118" xfId="3" applyNumberFormat="1" applyFont="1" applyBorder="1" applyAlignment="1">
      <alignment vertical="center"/>
    </xf>
    <xf numFmtId="180" fontId="38" fillId="0" borderId="149" xfId="5" applyNumberFormat="1" applyFont="1" applyBorder="1" applyAlignment="1">
      <alignment vertical="center"/>
    </xf>
    <xf numFmtId="180" fontId="37" fillId="0" borderId="149" xfId="5" applyNumberFormat="1" applyFont="1" applyBorder="1" applyAlignment="1">
      <alignment horizontal="center" vertical="center"/>
    </xf>
    <xf numFmtId="0" fontId="30" fillId="0" borderId="0" xfId="22"/>
    <xf numFmtId="0" fontId="100" fillId="0" borderId="0" xfId="22" applyFont="1" applyFill="1" applyAlignment="1" applyProtection="1">
      <alignment horizontal="center" vertical="center"/>
      <protection locked="0"/>
    </xf>
    <xf numFmtId="41" fontId="29" fillId="0" borderId="0" xfId="23" applyFont="1" applyFill="1" applyAlignment="1" applyProtection="1">
      <alignment horizontal="center" vertical="center"/>
      <protection locked="0"/>
    </xf>
    <xf numFmtId="0" fontId="101" fillId="0" borderId="0" xfId="22" applyFont="1" applyFill="1" applyAlignment="1" applyProtection="1">
      <alignment horizontal="center" vertical="center"/>
      <protection locked="0"/>
    </xf>
    <xf numFmtId="0" fontId="102" fillId="0" borderId="0" xfId="22" applyFont="1" applyFill="1" applyAlignment="1" applyProtection="1">
      <alignment vertical="center"/>
      <protection locked="0"/>
    </xf>
    <xf numFmtId="41" fontId="30" fillId="0" borderId="0" xfId="23" applyFont="1" applyFill="1" applyAlignment="1" applyProtection="1">
      <alignment vertical="center"/>
      <protection locked="0"/>
    </xf>
    <xf numFmtId="182" fontId="104" fillId="0" borderId="113" xfId="22" applyNumberFormat="1" applyFont="1" applyFill="1" applyBorder="1" applyAlignment="1" applyProtection="1">
      <alignment vertical="center"/>
      <protection locked="0"/>
    </xf>
    <xf numFmtId="0" fontId="30" fillId="0" borderId="113" xfId="22" applyFont="1" applyFill="1" applyBorder="1" applyAlignment="1" applyProtection="1">
      <alignment horizontal="right" vertical="center"/>
      <protection locked="0"/>
    </xf>
    <xf numFmtId="0" fontId="105" fillId="0" borderId="196" xfId="22" applyFont="1" applyFill="1" applyBorder="1" applyAlignment="1">
      <alignment horizontal="center" vertical="center" wrapText="1"/>
    </xf>
    <xf numFmtId="0" fontId="105" fillId="0" borderId="197" xfId="22" applyFont="1" applyFill="1" applyBorder="1" applyAlignment="1">
      <alignment horizontal="center" vertical="center" wrapText="1"/>
    </xf>
    <xf numFmtId="0" fontId="29" fillId="0" borderId="202" xfId="22" applyFont="1" applyFill="1" applyBorder="1" applyAlignment="1" applyProtection="1">
      <alignment horizontal="left" vertical="center"/>
      <protection locked="0"/>
    </xf>
    <xf numFmtId="41" fontId="107" fillId="0" borderId="202" xfId="23" applyFont="1" applyFill="1" applyBorder="1" applyAlignment="1">
      <alignment vertical="center" shrinkToFit="1"/>
    </xf>
    <xf numFmtId="0" fontId="37" fillId="0" borderId="203" xfId="22" applyFont="1" applyFill="1" applyBorder="1" applyAlignment="1" applyProtection="1">
      <alignment horizontal="left" vertical="center"/>
      <protection locked="0"/>
    </xf>
    <xf numFmtId="0" fontId="23" fillId="0" borderId="206" xfId="22" applyFont="1" applyFill="1" applyBorder="1" applyAlignment="1" applyProtection="1">
      <alignment vertical="center"/>
      <protection locked="0"/>
    </xf>
    <xf numFmtId="41" fontId="107" fillId="0" borderId="206" xfId="23" applyFont="1" applyFill="1" applyBorder="1" applyAlignment="1">
      <alignment vertical="center" shrinkToFit="1"/>
    </xf>
    <xf numFmtId="0" fontId="38" fillId="0" borderId="207" xfId="22" applyFont="1" applyFill="1" applyBorder="1" applyAlignment="1" applyProtection="1">
      <alignment horizontal="left" vertical="center"/>
      <protection locked="0"/>
    </xf>
    <xf numFmtId="0" fontId="29" fillId="0" borderId="208" xfId="22" applyFont="1" applyFill="1" applyBorder="1" applyAlignment="1" applyProtection="1">
      <alignment horizontal="left" vertical="center"/>
      <protection locked="0"/>
    </xf>
    <xf numFmtId="0" fontId="29" fillId="0" borderId="209" xfId="22" applyFont="1" applyFill="1" applyBorder="1" applyAlignment="1" applyProtection="1">
      <alignment vertical="center"/>
      <protection locked="0"/>
    </xf>
    <xf numFmtId="0" fontId="29" fillId="0" borderId="210" xfId="22" applyFont="1" applyFill="1" applyBorder="1" applyAlignment="1" applyProtection="1">
      <alignment vertical="center"/>
      <protection locked="0"/>
    </xf>
    <xf numFmtId="0" fontId="23" fillId="0" borderId="211" xfId="22" applyFont="1" applyBorder="1" applyAlignment="1"/>
    <xf numFmtId="41" fontId="107" fillId="0" borderId="211" xfId="23" applyFont="1" applyFill="1" applyBorder="1" applyAlignment="1">
      <alignment vertical="center" shrinkToFit="1"/>
    </xf>
    <xf numFmtId="0" fontId="29" fillId="0" borderId="212" xfId="22" applyFont="1" applyBorder="1" applyAlignment="1">
      <alignment vertical="center" wrapText="1"/>
    </xf>
    <xf numFmtId="0" fontId="29" fillId="0" borderId="208" xfId="22" applyNumberFormat="1" applyFont="1" applyFill="1" applyBorder="1" applyAlignment="1" applyProtection="1">
      <alignment horizontal="left" vertical="center" wrapText="1"/>
      <protection locked="0"/>
    </xf>
    <xf numFmtId="0" fontId="29" fillId="0" borderId="211" xfId="22" applyNumberFormat="1" applyFont="1" applyFill="1" applyBorder="1" applyAlignment="1" applyProtection="1">
      <alignment horizontal="left" vertical="center"/>
      <protection locked="0"/>
    </xf>
    <xf numFmtId="0" fontId="29" fillId="0" borderId="209" xfId="22" applyNumberFormat="1" applyFont="1" applyFill="1" applyBorder="1" applyAlignment="1" applyProtection="1">
      <alignment vertical="center" wrapText="1"/>
      <protection locked="0"/>
    </xf>
    <xf numFmtId="0" fontId="29" fillId="0" borderId="210" xfId="22" applyNumberFormat="1" applyFont="1" applyFill="1" applyBorder="1" applyAlignment="1" applyProtection="1">
      <alignment vertical="center" wrapText="1"/>
      <protection locked="0"/>
    </xf>
    <xf numFmtId="0" fontId="38" fillId="0" borderId="212" xfId="22" applyFont="1" applyFill="1" applyBorder="1" applyAlignment="1" applyProtection="1">
      <alignment horizontal="left" vertical="center" wrapText="1"/>
      <protection locked="0"/>
    </xf>
    <xf numFmtId="0" fontId="30" fillId="0" borderId="0" xfId="22" applyBorder="1"/>
    <xf numFmtId="0" fontId="29" fillId="0" borderId="209" xfId="22" applyNumberFormat="1" applyFont="1" applyFill="1" applyBorder="1" applyAlignment="1" applyProtection="1">
      <alignment horizontal="left" vertical="center"/>
      <protection locked="0"/>
    </xf>
    <xf numFmtId="0" fontId="29" fillId="0" borderId="211" xfId="22" applyNumberFormat="1" applyFont="1" applyFill="1" applyBorder="1" applyAlignment="1" applyProtection="1">
      <alignment horizontal="left" vertical="center" wrapText="1"/>
      <protection locked="0"/>
    </xf>
    <xf numFmtId="0" fontId="29" fillId="0" borderId="209" xfId="22" applyNumberFormat="1" applyFont="1" applyFill="1" applyBorder="1" applyAlignment="1" applyProtection="1">
      <alignment horizontal="left" vertical="center" wrapText="1"/>
      <protection locked="0"/>
    </xf>
    <xf numFmtId="0" fontId="38" fillId="0" borderId="212" xfId="22" applyFont="1" applyFill="1" applyBorder="1" applyAlignment="1" applyProtection="1">
      <alignment horizontal="left" vertical="center"/>
      <protection locked="0"/>
    </xf>
    <xf numFmtId="0" fontId="30" fillId="0" borderId="208" xfId="22" applyNumberFormat="1" applyFont="1" applyFill="1" applyBorder="1" applyAlignment="1" applyProtection="1">
      <alignment horizontal="left" vertical="center" wrapText="1"/>
      <protection locked="0"/>
    </xf>
    <xf numFmtId="0" fontId="30" fillId="0" borderId="211" xfId="22" applyNumberFormat="1" applyFont="1" applyFill="1" applyBorder="1" applyAlignment="1" applyProtection="1">
      <alignment horizontal="left" vertical="center" wrapText="1"/>
      <protection locked="0"/>
    </xf>
    <xf numFmtId="0" fontId="30" fillId="0" borderId="211" xfId="22" applyNumberFormat="1" applyFill="1" applyBorder="1" applyAlignment="1" applyProtection="1">
      <alignment horizontal="left" vertical="center" wrapText="1"/>
      <protection locked="0"/>
    </xf>
    <xf numFmtId="0" fontId="30" fillId="0" borderId="211" xfId="22" applyFont="1" applyBorder="1" applyAlignment="1">
      <alignment vertical="center" wrapText="1"/>
    </xf>
    <xf numFmtId="41" fontId="108" fillId="0" borderId="211" xfId="23" applyFont="1" applyFill="1" applyBorder="1" applyAlignment="1">
      <alignment vertical="center" shrinkToFit="1"/>
    </xf>
    <xf numFmtId="0" fontId="37" fillId="0" borderId="212" xfId="22" applyFont="1" applyFill="1" applyBorder="1" applyAlignment="1" applyProtection="1">
      <alignment horizontal="left" vertical="center" wrapText="1"/>
      <protection locked="0"/>
    </xf>
    <xf numFmtId="0" fontId="29" fillId="0" borderId="208" xfId="22" applyNumberFormat="1" applyFont="1" applyFill="1" applyBorder="1" applyAlignment="1" applyProtection="1">
      <alignment horizontal="left" vertical="center"/>
      <protection locked="0"/>
    </xf>
    <xf numFmtId="0" fontId="29" fillId="0" borderId="213" xfId="22" applyNumberFormat="1" applyFont="1" applyFill="1" applyBorder="1" applyAlignment="1" applyProtection="1">
      <alignment horizontal="left" vertical="center"/>
      <protection locked="0"/>
    </xf>
    <xf numFmtId="41" fontId="108" fillId="0" borderId="211" xfId="23" applyFont="1" applyFill="1" applyBorder="1" applyAlignment="1">
      <alignment horizontal="right" vertical="center" shrinkToFit="1"/>
    </xf>
    <xf numFmtId="0" fontId="30" fillId="0" borderId="208" xfId="22" applyNumberFormat="1" applyFont="1" applyFill="1" applyBorder="1" applyAlignment="1" applyProtection="1">
      <alignment horizontal="left" vertical="center"/>
      <protection locked="0"/>
    </xf>
    <xf numFmtId="0" fontId="30" fillId="0" borderId="211" xfId="22" applyNumberFormat="1" applyFont="1" applyFill="1" applyBorder="1" applyAlignment="1" applyProtection="1">
      <alignment horizontal="left" vertical="center"/>
      <protection locked="0"/>
    </xf>
    <xf numFmtId="0" fontId="30" fillId="0" borderId="213" xfId="22" applyNumberFormat="1" applyFill="1" applyBorder="1" applyAlignment="1" applyProtection="1">
      <alignment horizontal="left" vertical="center"/>
      <protection locked="0"/>
    </xf>
    <xf numFmtId="0" fontId="23" fillId="0" borderId="211" xfId="22" applyFont="1" applyFill="1" applyBorder="1" applyAlignment="1" applyProtection="1">
      <alignment vertical="center"/>
      <protection locked="0"/>
    </xf>
    <xf numFmtId="0" fontId="29" fillId="0" borderId="213" xfId="22" applyFont="1" applyFill="1" applyBorder="1" applyAlignment="1" applyProtection="1">
      <alignment vertical="center"/>
      <protection locked="0"/>
    </xf>
    <xf numFmtId="0" fontId="29" fillId="0" borderId="215" xfId="22" applyNumberFormat="1" applyFont="1" applyFill="1" applyBorder="1" applyAlignment="1" applyProtection="1">
      <alignment horizontal="left" vertical="center" wrapText="1"/>
      <protection locked="0"/>
    </xf>
    <xf numFmtId="0" fontId="29" fillId="0" borderId="216" xfId="22" applyNumberFormat="1" applyFont="1" applyFill="1" applyBorder="1" applyAlignment="1" applyProtection="1">
      <alignment horizontal="left" vertical="center" wrapText="1"/>
      <protection locked="0"/>
    </xf>
    <xf numFmtId="0" fontId="29" fillId="0" borderId="217" xfId="22" applyNumberFormat="1" applyFont="1" applyFill="1" applyBorder="1" applyAlignment="1" applyProtection="1">
      <alignment vertical="center" wrapText="1"/>
      <protection locked="0"/>
    </xf>
    <xf numFmtId="0" fontId="29" fillId="0" borderId="218" xfId="22" applyNumberFormat="1" applyFont="1" applyFill="1" applyBorder="1" applyAlignment="1" applyProtection="1">
      <alignment vertical="center" wrapText="1"/>
      <protection locked="0"/>
    </xf>
    <xf numFmtId="0" fontId="30" fillId="0" borderId="216" xfId="22" applyFont="1" applyBorder="1" applyAlignment="1">
      <alignment vertical="center" wrapText="1"/>
    </xf>
    <xf numFmtId="41" fontId="108" fillId="0" borderId="216" xfId="23" applyFont="1" applyFill="1" applyBorder="1" applyAlignment="1">
      <alignment vertical="center" shrinkToFit="1"/>
    </xf>
    <xf numFmtId="0" fontId="37" fillId="0" borderId="219" xfId="22" applyFont="1" applyFill="1" applyBorder="1" applyAlignment="1" applyProtection="1">
      <alignment horizontal="left" vertical="center" wrapText="1"/>
      <protection locked="0"/>
    </xf>
    <xf numFmtId="0" fontId="30" fillId="0" borderId="0" xfId="22" applyAlignment="1">
      <alignment horizontal="left"/>
    </xf>
    <xf numFmtId="0" fontId="52" fillId="5" borderId="122" xfId="4" applyFont="1" applyFill="1" applyBorder="1" applyAlignment="1">
      <alignment vertical="center" shrinkToFit="1"/>
    </xf>
    <xf numFmtId="0" fontId="14" fillId="0" borderId="0" xfId="1" applyFont="1" applyAlignment="1">
      <alignment horizontal="center"/>
    </xf>
    <xf numFmtId="0" fontId="2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6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9" fillId="0" borderId="0" xfId="1" applyFont="1" applyAlignment="1">
      <alignment horizont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2" borderId="21" xfId="1" applyFont="1" applyFill="1" applyBorder="1" applyAlignment="1">
      <alignment horizontal="center" vertical="center"/>
    </xf>
    <xf numFmtId="0" fontId="23" fillId="2" borderId="46" xfId="1" applyFont="1" applyFill="1" applyBorder="1" applyAlignment="1">
      <alignment horizontal="center" vertical="center"/>
    </xf>
    <xf numFmtId="0" fontId="31" fillId="0" borderId="0" xfId="1" applyFont="1" applyAlignment="1">
      <alignment horizontal="left"/>
    </xf>
    <xf numFmtId="0" fontId="25" fillId="0" borderId="0" xfId="1" applyFont="1" applyAlignment="1">
      <alignment horizontal="left" vertical="center" wrapText="1"/>
    </xf>
    <xf numFmtId="0" fontId="25" fillId="0" borderId="0" xfId="1" applyFont="1" applyAlignment="1">
      <alignment horizontal="left"/>
    </xf>
    <xf numFmtId="0" fontId="27" fillId="0" borderId="0" xfId="1" applyFont="1" applyAlignment="1">
      <alignment horizontal="right"/>
    </xf>
    <xf numFmtId="41" fontId="28" fillId="0" borderId="0" xfId="2" applyFont="1" applyAlignment="1">
      <alignment horizontal="right"/>
    </xf>
    <xf numFmtId="0" fontId="25" fillId="0" borderId="0" xfId="1" applyFont="1" applyAlignment="1">
      <alignment horizontal="left" wrapText="1"/>
    </xf>
    <xf numFmtId="0" fontId="29" fillId="0" borderId="2" xfId="1" applyFont="1" applyFill="1" applyBorder="1" applyAlignment="1">
      <alignment horizontal="center" vertical="center"/>
    </xf>
    <xf numFmtId="0" fontId="29" fillId="0" borderId="108" xfId="1" applyFont="1" applyFill="1" applyBorder="1" applyAlignment="1">
      <alignment horizontal="center" vertical="center"/>
    </xf>
    <xf numFmtId="0" fontId="29" fillId="0" borderId="54" xfId="1" applyFont="1" applyFill="1" applyBorder="1" applyAlignment="1">
      <alignment horizontal="center" vertical="center"/>
    </xf>
    <xf numFmtId="0" fontId="29" fillId="0" borderId="4" xfId="1" applyFont="1" applyFill="1" applyBorder="1" applyAlignment="1">
      <alignment horizontal="center" vertical="center"/>
    </xf>
    <xf numFmtId="0" fontId="29" fillId="3" borderId="7" xfId="1" applyFont="1" applyFill="1" applyBorder="1" applyAlignment="1">
      <alignment horizontal="center" vertical="center"/>
    </xf>
    <xf numFmtId="0" fontId="29" fillId="3" borderId="109" xfId="1" applyFont="1" applyFill="1" applyBorder="1" applyAlignment="1">
      <alignment horizontal="center" vertical="center"/>
    </xf>
    <xf numFmtId="0" fontId="29" fillId="3" borderId="101" xfId="1" applyFont="1" applyFill="1" applyBorder="1" applyAlignment="1">
      <alignment horizontal="center" vertical="center"/>
    </xf>
    <xf numFmtId="0" fontId="29" fillId="3" borderId="9" xfId="1" applyFont="1" applyFill="1" applyBorder="1" applyAlignment="1">
      <alignment horizontal="center" vertical="center"/>
    </xf>
    <xf numFmtId="0" fontId="25" fillId="0" borderId="6" xfId="1" applyFont="1" applyBorder="1" applyAlignment="1">
      <alignment horizontal="center" vertical="center" wrapText="1"/>
    </xf>
    <xf numFmtId="0" fontId="25" fillId="0" borderId="6" xfId="1" applyFont="1" applyBorder="1" applyAlignment="1">
      <alignment horizontal="center" vertical="center"/>
    </xf>
    <xf numFmtId="0" fontId="25" fillId="0" borderId="113" xfId="1" applyFont="1" applyBorder="1" applyAlignment="1">
      <alignment horizontal="center"/>
    </xf>
    <xf numFmtId="0" fontId="23" fillId="0" borderId="2" xfId="1" applyFont="1" applyFill="1" applyBorder="1" applyAlignment="1">
      <alignment horizontal="center" vertical="center"/>
    </xf>
    <xf numFmtId="0" fontId="23" fillId="0" borderId="45" xfId="1" applyFont="1" applyFill="1" applyBorder="1" applyAlignment="1">
      <alignment vertical="center"/>
    </xf>
    <xf numFmtId="0" fontId="23" fillId="0" borderId="54" xfId="1" applyFont="1" applyFill="1" applyBorder="1" applyAlignment="1">
      <alignment horizontal="center" vertical="center"/>
    </xf>
    <xf numFmtId="0" fontId="23" fillId="0" borderId="4" xfId="1" applyFont="1" applyFill="1" applyBorder="1" applyAlignment="1">
      <alignment vertical="center"/>
    </xf>
    <xf numFmtId="0" fontId="23" fillId="0" borderId="79" xfId="1" applyFont="1" applyFill="1" applyBorder="1" applyAlignment="1">
      <alignment horizontal="center" vertical="center"/>
    </xf>
    <xf numFmtId="0" fontId="23" fillId="0" borderId="49" xfId="1" applyFont="1" applyFill="1" applyBorder="1" applyAlignment="1">
      <alignment vertical="center"/>
    </xf>
    <xf numFmtId="0" fontId="25" fillId="0" borderId="114" xfId="1" applyFont="1" applyBorder="1" applyAlignment="1">
      <alignment horizontal="center" vertical="center"/>
    </xf>
    <xf numFmtId="179" fontId="30" fillId="0" borderId="34" xfId="1" applyNumberFormat="1" applyFont="1" applyBorder="1" applyAlignment="1">
      <alignment horizontal="center" vertical="center"/>
    </xf>
    <xf numFmtId="179" fontId="30" fillId="0" borderId="53" xfId="1" applyNumberFormat="1" applyFont="1" applyBorder="1" applyAlignment="1">
      <alignment horizontal="center" vertical="center"/>
    </xf>
    <xf numFmtId="179" fontId="30" fillId="0" borderId="131" xfId="1" applyNumberFormat="1" applyFont="1" applyBorder="1" applyAlignment="1">
      <alignment horizontal="center" vertical="center"/>
    </xf>
    <xf numFmtId="0" fontId="29" fillId="0" borderId="0" xfId="1" applyFont="1" applyAlignment="1">
      <alignment horizontal="left" vertical="center"/>
    </xf>
    <xf numFmtId="0" fontId="29" fillId="0" borderId="127" xfId="1" applyFont="1" applyFill="1" applyBorder="1" applyAlignment="1">
      <alignment horizontal="center" vertical="center"/>
    </xf>
    <xf numFmtId="0" fontId="29" fillId="0" borderId="83" xfId="1" applyFont="1" applyFill="1" applyBorder="1" applyAlignment="1">
      <alignment horizontal="center" vertical="center"/>
    </xf>
    <xf numFmtId="0" fontId="29" fillId="0" borderId="136" xfId="1" applyFont="1" applyFill="1" applyBorder="1" applyAlignment="1">
      <alignment horizontal="center" vertical="center"/>
    </xf>
    <xf numFmtId="0" fontId="29" fillId="0" borderId="73" xfId="1" applyFont="1" applyFill="1" applyBorder="1" applyAlignment="1">
      <alignment horizontal="center" vertical="center"/>
    </xf>
    <xf numFmtId="179" fontId="29" fillId="0" borderId="87" xfId="1" applyNumberFormat="1" applyFont="1" applyBorder="1" applyAlignment="1">
      <alignment horizontal="center" vertical="center"/>
    </xf>
    <xf numFmtId="0" fontId="33" fillId="0" borderId="56" xfId="1" applyFont="1" applyBorder="1"/>
    <xf numFmtId="179" fontId="29" fillId="0" borderId="92" xfId="1" applyNumberFormat="1" applyFont="1" applyBorder="1" applyAlignment="1">
      <alignment horizontal="center" vertical="center"/>
    </xf>
    <xf numFmtId="179" fontId="29" fillId="0" borderId="56" xfId="1" applyNumberFormat="1" applyFont="1" applyBorder="1" applyAlignment="1">
      <alignment horizontal="center" vertical="center"/>
    </xf>
    <xf numFmtId="179" fontId="96" fillId="0" borderId="89" xfId="1" applyNumberFormat="1" applyFont="1" applyBorder="1" applyAlignment="1">
      <alignment horizontal="center" vertical="center"/>
    </xf>
    <xf numFmtId="179" fontId="96" fillId="0" borderId="57" xfId="1" applyNumberFormat="1" applyFont="1" applyBorder="1" applyAlignment="1">
      <alignment horizontal="center" vertical="center"/>
    </xf>
    <xf numFmtId="179" fontId="96" fillId="0" borderId="55" xfId="1" applyNumberFormat="1" applyFont="1" applyBorder="1" applyAlignment="1">
      <alignment horizontal="center" vertical="center"/>
    </xf>
    <xf numFmtId="179" fontId="25" fillId="0" borderId="117" xfId="1" applyNumberFormat="1" applyFont="1" applyBorder="1" applyAlignment="1">
      <alignment horizontal="center" vertical="center" wrapText="1" justifyLastLine="1"/>
    </xf>
    <xf numFmtId="179" fontId="25" fillId="0" borderId="18" xfId="1" applyNumberFormat="1" applyFont="1" applyBorder="1" applyAlignment="1">
      <alignment horizontal="center" vertical="center" justifyLastLine="1"/>
    </xf>
    <xf numFmtId="179" fontId="25" fillId="0" borderId="115" xfId="1" applyNumberFormat="1" applyFont="1" applyBorder="1" applyAlignment="1">
      <alignment horizontal="center" vertical="center"/>
    </xf>
    <xf numFmtId="179" fontId="25" fillId="0" borderId="113" xfId="1" applyNumberFormat="1" applyFont="1" applyBorder="1" applyAlignment="1">
      <alignment horizontal="center" vertical="center"/>
    </xf>
    <xf numFmtId="179" fontId="25" fillId="0" borderId="28" xfId="1" applyNumberFormat="1" applyFont="1" applyBorder="1" applyAlignment="1">
      <alignment horizontal="center" vertical="center"/>
    </xf>
    <xf numFmtId="0" fontId="25" fillId="2" borderId="142" xfId="1" applyFont="1" applyFill="1" applyBorder="1" applyAlignment="1">
      <alignment horizontal="distributed" vertical="distributed" justifyLastLine="1"/>
    </xf>
    <xf numFmtId="0" fontId="25" fillId="2" borderId="143" xfId="1" applyFont="1" applyFill="1" applyBorder="1" applyAlignment="1">
      <alignment horizontal="distributed" vertical="distributed" justifyLastLine="1"/>
    </xf>
    <xf numFmtId="0" fontId="25" fillId="2" borderId="97" xfId="1" applyFont="1" applyFill="1" applyBorder="1" applyAlignment="1">
      <alignment horizontal="distributed" vertical="distributed" justifyLastLine="1"/>
    </xf>
    <xf numFmtId="0" fontId="25" fillId="2" borderId="144" xfId="1" applyFont="1" applyFill="1" applyBorder="1" applyAlignment="1">
      <alignment horizontal="center" vertical="center"/>
    </xf>
    <xf numFmtId="0" fontId="25" fillId="2" borderId="30" xfId="1" applyFont="1" applyFill="1" applyBorder="1" applyAlignment="1">
      <alignment horizontal="center" vertical="center"/>
    </xf>
    <xf numFmtId="179" fontId="23" fillId="0" borderId="144" xfId="1" applyNumberFormat="1" applyFont="1" applyBorder="1" applyAlignment="1">
      <alignment horizontal="center" vertical="center"/>
    </xf>
    <xf numFmtId="179" fontId="23" fillId="0" borderId="30" xfId="1" applyNumberFormat="1" applyFont="1" applyBorder="1" applyAlignment="1">
      <alignment horizontal="center" vertical="center"/>
    </xf>
    <xf numFmtId="180" fontId="37" fillId="5" borderId="148" xfId="0" applyNumberFormat="1" applyFont="1" applyFill="1" applyBorder="1" applyAlignment="1">
      <alignment horizontal="center" vertical="center" wrapText="1"/>
    </xf>
    <xf numFmtId="180" fontId="37" fillId="5" borderId="147" xfId="0" applyNumberFormat="1" applyFont="1" applyFill="1" applyBorder="1" applyAlignment="1">
      <alignment horizontal="center" vertical="center" wrapText="1"/>
    </xf>
    <xf numFmtId="180" fontId="37" fillId="5" borderId="37" xfId="0" applyNumberFormat="1" applyFont="1" applyFill="1" applyBorder="1" applyAlignment="1">
      <alignment horizontal="center" vertical="center" wrapText="1"/>
    </xf>
    <xf numFmtId="0" fontId="37" fillId="5" borderId="120" xfId="4" applyFont="1" applyFill="1" applyBorder="1" applyAlignment="1">
      <alignment horizontal="left" vertical="center" wrapText="1"/>
    </xf>
    <xf numFmtId="0" fontId="37" fillId="5" borderId="121" xfId="4" applyFont="1" applyFill="1" applyBorder="1" applyAlignment="1">
      <alignment horizontal="left" vertical="center" wrapText="1"/>
    </xf>
    <xf numFmtId="0" fontId="37" fillId="5" borderId="30" xfId="4" applyFont="1" applyFill="1" applyBorder="1" applyAlignment="1">
      <alignment horizontal="left" vertical="center" wrapText="1"/>
    </xf>
    <xf numFmtId="0" fontId="40" fillId="5" borderId="120" xfId="4" applyFont="1" applyFill="1" applyBorder="1" applyAlignment="1">
      <alignment horizontal="left" vertical="center" wrapText="1"/>
    </xf>
    <xf numFmtId="0" fontId="40" fillId="5" borderId="30" xfId="4" applyFont="1" applyFill="1" applyBorder="1" applyAlignment="1">
      <alignment horizontal="left" vertical="center" wrapText="1"/>
    </xf>
    <xf numFmtId="180" fontId="37" fillId="5" borderId="120" xfId="0" applyNumberFormat="1" applyFont="1" applyFill="1" applyBorder="1" applyAlignment="1">
      <alignment horizontal="left" vertical="center" wrapText="1"/>
    </xf>
    <xf numFmtId="180" fontId="37" fillId="5" borderId="121" xfId="0" applyNumberFormat="1" applyFont="1" applyFill="1" applyBorder="1" applyAlignment="1">
      <alignment horizontal="left" vertical="center" wrapText="1"/>
    </xf>
    <xf numFmtId="180" fontId="37" fillId="5" borderId="30" xfId="0" applyNumberFormat="1" applyFont="1" applyFill="1" applyBorder="1" applyAlignment="1">
      <alignment horizontal="left" vertical="center" wrapText="1"/>
    </xf>
    <xf numFmtId="180" fontId="37" fillId="5" borderId="122" xfId="0" applyNumberFormat="1" applyFont="1" applyFill="1" applyBorder="1" applyAlignment="1">
      <alignment horizontal="left" vertical="center" wrapText="1"/>
    </xf>
    <xf numFmtId="180" fontId="37" fillId="5" borderId="29" xfId="0" applyNumberFormat="1" applyFont="1" applyFill="1" applyBorder="1" applyAlignment="1">
      <alignment horizontal="left" vertical="center"/>
    </xf>
    <xf numFmtId="0" fontId="37" fillId="5" borderId="142" xfId="4" applyFont="1" applyFill="1" applyBorder="1" applyAlignment="1">
      <alignment vertical="center" wrapText="1"/>
    </xf>
    <xf numFmtId="0" fontId="37" fillId="5" borderId="143" xfId="4" applyFont="1" applyFill="1" applyBorder="1" applyAlignment="1">
      <alignment vertical="center" wrapText="1"/>
    </xf>
    <xf numFmtId="0" fontId="37" fillId="5" borderId="143" xfId="4" applyFont="1" applyFill="1" applyBorder="1" applyAlignment="1">
      <alignment vertical="center"/>
    </xf>
    <xf numFmtId="0" fontId="37" fillId="5" borderId="149" xfId="4" applyFont="1" applyFill="1" applyBorder="1" applyAlignment="1">
      <alignment horizontal="left" vertical="center" wrapText="1"/>
    </xf>
    <xf numFmtId="0" fontId="37" fillId="5" borderId="119" xfId="4" applyFont="1" applyFill="1" applyBorder="1" applyAlignment="1">
      <alignment horizontal="left" vertical="center" wrapText="1"/>
    </xf>
    <xf numFmtId="180" fontId="37" fillId="4" borderId="129" xfId="0" applyNumberFormat="1" applyFont="1" applyFill="1" applyBorder="1" applyAlignment="1">
      <alignment horizontal="center" vertical="center" wrapText="1"/>
    </xf>
    <xf numFmtId="180" fontId="37" fillId="4" borderId="83" xfId="0" applyNumberFormat="1" applyFont="1" applyFill="1" applyBorder="1" applyAlignment="1">
      <alignment horizontal="center" vertical="center" wrapText="1"/>
    </xf>
    <xf numFmtId="180" fontId="37" fillId="4" borderId="73" xfId="0" applyNumberFormat="1" applyFont="1" applyFill="1" applyBorder="1" applyAlignment="1">
      <alignment horizontal="center" vertical="center"/>
    </xf>
    <xf numFmtId="180" fontId="37" fillId="4" borderId="126" xfId="0" applyNumberFormat="1" applyFont="1" applyFill="1" applyBorder="1" applyAlignment="1">
      <alignment horizontal="center" vertical="center"/>
    </xf>
    <xf numFmtId="180" fontId="37" fillId="4" borderId="113" xfId="0" applyNumberFormat="1" applyFont="1" applyFill="1" applyBorder="1" applyAlignment="1">
      <alignment horizontal="center" vertical="center"/>
    </xf>
    <xf numFmtId="180" fontId="37" fillId="4" borderId="41" xfId="0" applyNumberFormat="1" applyFont="1" applyFill="1" applyBorder="1" applyAlignment="1">
      <alignment horizontal="center" vertical="center"/>
    </xf>
    <xf numFmtId="180" fontId="37" fillId="5" borderId="142" xfId="0" applyNumberFormat="1" applyFont="1" applyFill="1" applyBorder="1" applyAlignment="1">
      <alignment vertical="center" wrapText="1"/>
    </xf>
    <xf numFmtId="180" fontId="37" fillId="5" borderId="143" xfId="0" applyNumberFormat="1" applyFont="1" applyFill="1" applyBorder="1" applyAlignment="1">
      <alignment vertical="center" wrapText="1"/>
    </xf>
    <xf numFmtId="180" fontId="37" fillId="5" borderId="143" xfId="0" applyNumberFormat="1" applyFont="1" applyFill="1" applyBorder="1" applyAlignment="1">
      <alignment vertical="center"/>
    </xf>
    <xf numFmtId="180" fontId="37" fillId="5" borderId="30" xfId="0" applyNumberFormat="1" applyFont="1" applyFill="1" applyBorder="1" applyAlignment="1">
      <alignment horizontal="left" vertical="center"/>
    </xf>
    <xf numFmtId="180" fontId="38" fillId="4" borderId="79" xfId="0" applyNumberFormat="1" applyFont="1" applyFill="1" applyBorder="1" applyAlignment="1">
      <alignment horizontal="center" vertical="center"/>
    </xf>
    <xf numFmtId="180" fontId="38" fillId="4" borderId="15" xfId="0" applyNumberFormat="1" applyFont="1" applyFill="1" applyBorder="1" applyAlignment="1">
      <alignment horizontal="center" vertical="center"/>
    </xf>
    <xf numFmtId="180" fontId="38" fillId="4" borderId="48" xfId="0" applyNumberFormat="1" applyFont="1" applyFill="1" applyBorder="1" applyAlignment="1">
      <alignment horizontal="center" vertical="center"/>
    </xf>
    <xf numFmtId="180" fontId="37" fillId="4" borderId="142" xfId="0" applyNumberFormat="1" applyFont="1" applyFill="1" applyBorder="1" applyAlignment="1">
      <alignment horizontal="center" vertical="center"/>
    </xf>
    <xf numFmtId="180" fontId="37" fillId="4" borderId="143" xfId="0" applyNumberFormat="1" applyFont="1" applyFill="1" applyBorder="1" applyAlignment="1">
      <alignment horizontal="center" vertical="center"/>
    </xf>
    <xf numFmtId="180" fontId="37" fillId="4" borderId="101" xfId="0" applyNumberFormat="1" applyFont="1" applyFill="1" applyBorder="1" applyAlignment="1">
      <alignment horizontal="center" vertical="center"/>
    </xf>
    <xf numFmtId="41" fontId="37" fillId="4" borderId="27" xfId="3" applyFont="1" applyFill="1" applyBorder="1" applyAlignment="1">
      <alignment horizontal="center" vertical="center" wrapText="1"/>
    </xf>
    <xf numFmtId="41" fontId="37" fillId="4" borderId="23" xfId="3" applyFont="1" applyFill="1" applyBorder="1" applyAlignment="1">
      <alignment horizontal="center" vertical="center" wrapText="1"/>
    </xf>
    <xf numFmtId="176" fontId="37" fillId="4" borderId="27" xfId="3" applyNumberFormat="1" applyFont="1" applyFill="1" applyBorder="1" applyAlignment="1">
      <alignment horizontal="center" vertical="center" wrapText="1"/>
    </xf>
    <xf numFmtId="176" fontId="37" fillId="4" borderId="23" xfId="3" applyNumberFormat="1" applyFont="1" applyFill="1" applyBorder="1" applyAlignment="1">
      <alignment horizontal="center" vertical="center" wrapText="1"/>
    </xf>
    <xf numFmtId="180" fontId="37" fillId="4" borderId="8" xfId="3" applyNumberFormat="1" applyFont="1" applyFill="1" applyBorder="1" applyAlignment="1">
      <alignment horizontal="center" vertical="center" wrapText="1"/>
    </xf>
    <xf numFmtId="180" fontId="37" fillId="4" borderId="13" xfId="3" applyNumberFormat="1" applyFont="1" applyFill="1" applyBorder="1" applyAlignment="1">
      <alignment horizontal="center" vertical="center"/>
    </xf>
    <xf numFmtId="180" fontId="37" fillId="4" borderId="127" xfId="0" applyNumberFormat="1" applyFont="1" applyFill="1" applyBorder="1" applyAlignment="1">
      <alignment horizontal="center" vertical="center"/>
    </xf>
    <xf numFmtId="180" fontId="37" fillId="4" borderId="83" xfId="0" applyNumberFormat="1" applyFont="1" applyFill="1" applyBorder="1" applyAlignment="1">
      <alignment horizontal="center" vertical="center"/>
    </xf>
    <xf numFmtId="180" fontId="37" fillId="4" borderId="128" xfId="0" applyNumberFormat="1" applyFont="1" applyFill="1" applyBorder="1" applyAlignment="1">
      <alignment horizontal="center" vertical="center"/>
    </xf>
    <xf numFmtId="41" fontId="37" fillId="4" borderId="23" xfId="3" applyFont="1" applyFill="1" applyBorder="1" applyAlignment="1">
      <alignment horizontal="center" vertical="center"/>
    </xf>
    <xf numFmtId="180" fontId="37" fillId="4" borderId="9" xfId="3" applyNumberFormat="1" applyFont="1" applyFill="1" applyBorder="1" applyAlignment="1">
      <alignment horizontal="center" vertical="center" wrapText="1"/>
    </xf>
    <xf numFmtId="180" fontId="37" fillId="4" borderId="14" xfId="3" applyNumberFormat="1" applyFont="1" applyFill="1" applyBorder="1" applyAlignment="1">
      <alignment horizontal="center" vertical="center"/>
    </xf>
    <xf numFmtId="41" fontId="38" fillId="11" borderId="169" xfId="10" applyFont="1" applyFill="1" applyBorder="1" applyAlignment="1">
      <alignment horizontal="center" vertical="center"/>
    </xf>
    <xf numFmtId="41" fontId="38" fillId="11" borderId="170" xfId="10" applyFont="1" applyFill="1" applyBorder="1" applyAlignment="1">
      <alignment horizontal="center" vertical="center"/>
    </xf>
    <xf numFmtId="41" fontId="38" fillId="11" borderId="74" xfId="10" applyFont="1" applyFill="1" applyBorder="1" applyAlignment="1">
      <alignment horizontal="center" vertical="center"/>
    </xf>
    <xf numFmtId="41" fontId="38" fillId="11" borderId="165" xfId="10" applyFont="1" applyFill="1" applyBorder="1" applyAlignment="1">
      <alignment horizontal="center" vertical="center"/>
    </xf>
    <xf numFmtId="41" fontId="38" fillId="11" borderId="71" xfId="10" applyFont="1" applyFill="1" applyBorder="1" applyAlignment="1">
      <alignment horizontal="center" vertical="center"/>
    </xf>
    <xf numFmtId="41" fontId="38" fillId="11" borderId="166" xfId="10" applyFont="1" applyFill="1" applyBorder="1" applyAlignment="1">
      <alignment horizontal="center" vertical="center"/>
    </xf>
    <xf numFmtId="41" fontId="38" fillId="11" borderId="72" xfId="10" applyFont="1" applyFill="1" applyBorder="1" applyAlignment="1">
      <alignment horizontal="center" vertical="center"/>
    </xf>
    <xf numFmtId="10" fontId="38" fillId="11" borderId="167" xfId="10" applyNumberFormat="1" applyFont="1" applyFill="1" applyBorder="1" applyAlignment="1">
      <alignment horizontal="center" vertical="center"/>
    </xf>
    <xf numFmtId="41" fontId="38" fillId="11" borderId="93" xfId="10" applyFont="1" applyFill="1" applyBorder="1" applyAlignment="1">
      <alignment horizontal="center" vertical="center"/>
    </xf>
    <xf numFmtId="10" fontId="38" fillId="11" borderId="168" xfId="10" applyNumberFormat="1" applyFont="1" applyFill="1" applyBorder="1" applyAlignment="1">
      <alignment horizontal="center" vertical="center"/>
    </xf>
    <xf numFmtId="41" fontId="38" fillId="11" borderId="100" xfId="10" applyFont="1" applyFill="1" applyBorder="1" applyAlignment="1">
      <alignment horizontal="center" vertical="center"/>
    </xf>
    <xf numFmtId="0" fontId="42" fillId="0" borderId="120" xfId="6" applyNumberFormat="1" applyFont="1" applyFill="1" applyBorder="1" applyAlignment="1">
      <alignment horizontal="left" vertical="center" wrapText="1"/>
    </xf>
    <xf numFmtId="0" fontId="42" fillId="0" borderId="30" xfId="6" applyNumberFormat="1" applyFont="1" applyFill="1" applyBorder="1" applyAlignment="1">
      <alignment horizontal="left" vertical="center" wrapText="1"/>
    </xf>
    <xf numFmtId="0" fontId="42" fillId="0" borderId="5" xfId="6" applyNumberFormat="1" applyFont="1" applyFill="1" applyBorder="1" applyAlignment="1">
      <alignment horizontal="left" vertical="center" wrapText="1"/>
    </xf>
    <xf numFmtId="0" fontId="42" fillId="0" borderId="37" xfId="6" applyNumberFormat="1" applyFont="1" applyFill="1" applyBorder="1" applyAlignment="1">
      <alignment horizontal="left" vertical="center" wrapText="1"/>
    </xf>
    <xf numFmtId="0" fontId="42" fillId="0" borderId="16" xfId="5" applyNumberFormat="1" applyFont="1" applyFill="1" applyBorder="1" applyAlignment="1">
      <alignment horizontal="left" vertical="center" wrapText="1"/>
    </xf>
    <xf numFmtId="0" fontId="42" fillId="0" borderId="5" xfId="5" applyNumberFormat="1" applyFont="1" applyFill="1" applyBorder="1" applyAlignment="1">
      <alignment horizontal="left" vertical="center" wrapText="1"/>
    </xf>
    <xf numFmtId="0" fontId="42" fillId="0" borderId="120" xfId="6" applyNumberFormat="1" applyFont="1" applyFill="1" applyBorder="1" applyAlignment="1">
      <alignment horizontal="left" vertical="center"/>
    </xf>
    <xf numFmtId="0" fontId="42" fillId="0" borderId="30" xfId="6" applyNumberFormat="1" applyFont="1" applyFill="1" applyBorder="1" applyAlignment="1">
      <alignment horizontal="left" vertical="center"/>
    </xf>
    <xf numFmtId="0" fontId="42" fillId="0" borderId="29" xfId="6" applyNumberFormat="1" applyFont="1" applyFill="1" applyBorder="1" applyAlignment="1">
      <alignment horizontal="left" vertical="center"/>
    </xf>
    <xf numFmtId="0" fontId="54" fillId="0" borderId="142" xfId="6" applyNumberFormat="1" applyFont="1" applyFill="1" applyBorder="1" applyAlignment="1">
      <alignment horizontal="left" vertical="center"/>
    </xf>
    <xf numFmtId="0" fontId="54" fillId="0" borderId="143" xfId="6" applyNumberFormat="1" applyFont="1" applyFill="1" applyBorder="1" applyAlignment="1">
      <alignment horizontal="left" vertical="center"/>
    </xf>
    <xf numFmtId="0" fontId="54" fillId="0" borderId="101" xfId="6" applyNumberFormat="1" applyFont="1" applyFill="1" applyBorder="1" applyAlignment="1">
      <alignment horizontal="left" vertical="center"/>
    </xf>
    <xf numFmtId="0" fontId="52" fillId="4" borderId="101" xfId="6" applyNumberFormat="1" applyFont="1" applyFill="1" applyBorder="1" applyAlignment="1">
      <alignment horizontal="center" vertical="center"/>
    </xf>
    <xf numFmtId="0" fontId="52" fillId="4" borderId="8" xfId="6" applyNumberFormat="1" applyFont="1" applyFill="1" applyBorder="1" applyAlignment="1">
      <alignment horizontal="center" vertical="center"/>
    </xf>
    <xf numFmtId="0" fontId="52" fillId="4" borderId="9" xfId="6" applyNumberFormat="1" applyFont="1" applyFill="1" applyBorder="1" applyAlignment="1">
      <alignment horizontal="center" vertical="center"/>
    </xf>
    <xf numFmtId="0" fontId="52" fillId="4" borderId="119" xfId="6" applyNumberFormat="1" applyFont="1" applyFill="1" applyBorder="1" applyAlignment="1">
      <alignment horizontal="center" vertical="center"/>
    </xf>
    <xf numFmtId="0" fontId="52" fillId="4" borderId="118" xfId="6" applyNumberFormat="1" applyFont="1" applyFill="1" applyBorder="1" applyAlignment="1">
      <alignment horizontal="center" vertical="center"/>
    </xf>
    <xf numFmtId="0" fontId="52" fillId="4" borderId="145" xfId="6" applyNumberFormat="1" applyFont="1" applyFill="1" applyBorder="1" applyAlignment="1">
      <alignment horizontal="center" vertical="center"/>
    </xf>
    <xf numFmtId="0" fontId="54" fillId="4" borderId="21" xfId="6" applyNumberFormat="1" applyFont="1" applyFill="1" applyBorder="1" applyAlignment="1">
      <alignment horizontal="center" vertical="center"/>
    </xf>
    <xf numFmtId="0" fontId="54" fillId="4" borderId="19" xfId="6" applyNumberFormat="1" applyFont="1" applyFill="1" applyBorder="1" applyAlignment="1">
      <alignment horizontal="center" vertical="center"/>
    </xf>
    <xf numFmtId="177" fontId="52" fillId="4" borderId="8" xfId="7" applyNumberFormat="1" applyFont="1" applyFill="1" applyBorder="1" applyAlignment="1">
      <alignment horizontal="center" vertical="center" wrapText="1"/>
    </xf>
    <xf numFmtId="177" fontId="52" fillId="4" borderId="13" xfId="7" applyNumberFormat="1" applyFont="1" applyFill="1" applyBorder="1" applyAlignment="1">
      <alignment horizontal="center" vertical="center" wrapText="1"/>
    </xf>
    <xf numFmtId="177" fontId="42" fillId="4" borderId="8" xfId="7" applyNumberFormat="1" applyFont="1" applyFill="1" applyBorder="1" applyAlignment="1">
      <alignment horizontal="center" vertical="center" wrapText="1"/>
    </xf>
    <xf numFmtId="177" fontId="42" fillId="4" borderId="13" xfId="7" applyNumberFormat="1" applyFont="1" applyFill="1" applyBorder="1" applyAlignment="1">
      <alignment horizontal="center" vertical="center" wrapText="1"/>
    </xf>
    <xf numFmtId="0" fontId="42" fillId="4" borderId="25" xfId="6" applyNumberFormat="1" applyFont="1" applyFill="1" applyBorder="1" applyAlignment="1">
      <alignment horizontal="center" vertical="center" wrapText="1"/>
    </xf>
    <xf numFmtId="0" fontId="42" fillId="4" borderId="22" xfId="6" applyNumberFormat="1" applyFont="1" applyFill="1" applyBorder="1" applyAlignment="1">
      <alignment horizontal="center" vertical="center"/>
    </xf>
    <xf numFmtId="0" fontId="42" fillId="4" borderId="125" xfId="6" applyNumberFormat="1" applyFont="1" applyFill="1" applyBorder="1" applyAlignment="1">
      <alignment horizontal="center" vertical="center"/>
    </xf>
    <xf numFmtId="0" fontId="42" fillId="4" borderId="143" xfId="6" applyNumberFormat="1" applyFont="1" applyFill="1" applyBorder="1" applyAlignment="1">
      <alignment horizontal="center" vertical="center"/>
    </xf>
    <xf numFmtId="0" fontId="42" fillId="4" borderId="101" xfId="6" applyNumberFormat="1" applyFont="1" applyFill="1" applyBorder="1" applyAlignment="1">
      <alignment horizontal="center" vertical="center"/>
    </xf>
    <xf numFmtId="176" fontId="52" fillId="4" borderId="125" xfId="7" applyNumberFormat="1" applyFont="1" applyFill="1" applyBorder="1" applyAlignment="1">
      <alignment horizontal="center" vertical="center" wrapText="1"/>
    </xf>
    <xf numFmtId="176" fontId="52" fillId="4" borderId="149" xfId="7" applyNumberFormat="1" applyFont="1" applyFill="1" applyBorder="1" applyAlignment="1">
      <alignment horizontal="center" vertical="center" wrapText="1"/>
    </xf>
    <xf numFmtId="0" fontId="37" fillId="0" borderId="123" xfId="4" applyFont="1" applyFill="1" applyBorder="1" applyAlignment="1">
      <alignment vertical="center" wrapText="1"/>
    </xf>
    <xf numFmtId="0" fontId="37" fillId="0" borderId="30" xfId="4" applyFont="1" applyFill="1" applyBorder="1" applyAlignment="1">
      <alignment vertical="center" wrapText="1"/>
    </xf>
    <xf numFmtId="0" fontId="42" fillId="4" borderId="25" xfId="6" applyNumberFormat="1" applyFont="1" applyFill="1" applyBorder="1" applyAlignment="1">
      <alignment horizontal="center" vertical="center"/>
    </xf>
    <xf numFmtId="177" fontId="52" fillId="4" borderId="125" xfId="7" applyNumberFormat="1" applyFont="1" applyFill="1" applyBorder="1" applyAlignment="1">
      <alignment horizontal="center" vertical="center" wrapText="1"/>
    </xf>
    <xf numFmtId="177" fontId="52" fillId="4" borderId="148" xfId="7" applyNumberFormat="1" applyFont="1" applyFill="1" applyBorder="1" applyAlignment="1">
      <alignment horizontal="center" vertical="center" wrapText="1"/>
    </xf>
    <xf numFmtId="0" fontId="75" fillId="4" borderId="79" xfId="4" applyNumberFormat="1" applyFont="1" applyFill="1" applyBorder="1" applyAlignment="1">
      <alignment horizontal="center" vertical="center"/>
    </xf>
    <xf numFmtId="0" fontId="75" fillId="4" borderId="15" xfId="4" applyNumberFormat="1" applyFont="1" applyFill="1" applyBorder="1" applyAlignment="1">
      <alignment horizontal="center" vertical="center"/>
    </xf>
    <xf numFmtId="0" fontId="75" fillId="4" borderId="48" xfId="4" applyNumberFormat="1" applyFont="1" applyFill="1" applyBorder="1" applyAlignment="1">
      <alignment horizontal="center" vertical="center"/>
    </xf>
    <xf numFmtId="0" fontId="37" fillId="0" borderId="120" xfId="4" applyFont="1" applyFill="1" applyBorder="1" applyAlignment="1">
      <alignment horizontal="left" vertical="center" wrapText="1"/>
    </xf>
    <xf numFmtId="0" fontId="37" fillId="0" borderId="30" xfId="4" applyFont="1" applyFill="1" applyBorder="1" applyAlignment="1">
      <alignment horizontal="left" vertical="center" wrapText="1"/>
    </xf>
    <xf numFmtId="0" fontId="37" fillId="0" borderId="123" xfId="4" applyFont="1" applyFill="1" applyBorder="1" applyAlignment="1">
      <alignment horizontal="left" vertical="center" wrapText="1"/>
    </xf>
    <xf numFmtId="0" fontId="37" fillId="0" borderId="29" xfId="4" applyFont="1" applyFill="1" applyBorder="1" applyAlignment="1">
      <alignment horizontal="left" vertical="center" wrapText="1"/>
    </xf>
    <xf numFmtId="177" fontId="52" fillId="4" borderId="118" xfId="7" applyNumberFormat="1" applyFont="1" applyFill="1" applyBorder="1" applyAlignment="1">
      <alignment horizontal="center" vertical="center" wrapText="1"/>
    </xf>
    <xf numFmtId="177" fontId="42" fillId="4" borderId="118" xfId="7" applyNumberFormat="1" applyFont="1" applyFill="1" applyBorder="1" applyAlignment="1">
      <alignment horizontal="center" vertical="center" wrapText="1"/>
    </xf>
    <xf numFmtId="0" fontId="37" fillId="0" borderId="30" xfId="4" applyFont="1" applyFill="1" applyBorder="1" applyAlignment="1">
      <alignment horizontal="left" vertical="center"/>
    </xf>
    <xf numFmtId="0" fontId="37" fillId="0" borderId="121" xfId="4" applyFont="1" applyFill="1" applyBorder="1" applyAlignment="1">
      <alignment horizontal="left" vertical="center" wrapText="1"/>
    </xf>
    <xf numFmtId="0" fontId="59" fillId="0" borderId="120" xfId="5" applyNumberFormat="1" applyFont="1" applyFill="1" applyBorder="1" applyAlignment="1">
      <alignment horizontal="left" vertical="center" wrapText="1"/>
    </xf>
    <xf numFmtId="0" fontId="59" fillId="0" borderId="30" xfId="5" applyNumberFormat="1" applyFont="1" applyFill="1" applyBorder="1" applyAlignment="1">
      <alignment horizontal="left" vertical="center" wrapText="1"/>
    </xf>
    <xf numFmtId="41" fontId="52" fillId="4" borderId="125" xfId="7" applyNumberFormat="1" applyFont="1" applyFill="1" applyBorder="1" applyAlignment="1">
      <alignment horizontal="center" vertical="center" wrapText="1"/>
    </xf>
    <xf numFmtId="41" fontId="52" fillId="4" borderId="148" xfId="7" applyNumberFormat="1" applyFont="1" applyFill="1" applyBorder="1" applyAlignment="1">
      <alignment horizontal="center" vertical="center" wrapText="1"/>
    </xf>
    <xf numFmtId="0" fontId="59" fillId="0" borderId="122" xfId="5" applyNumberFormat="1" applyFont="1" applyFill="1" applyBorder="1" applyAlignment="1">
      <alignment horizontal="left" vertical="center" wrapText="1"/>
    </xf>
    <xf numFmtId="0" fontId="59" fillId="0" borderId="29" xfId="5" applyNumberFormat="1" applyFont="1" applyFill="1" applyBorder="1" applyAlignment="1">
      <alignment horizontal="left" vertical="center" wrapText="1"/>
    </xf>
    <xf numFmtId="0" fontId="59" fillId="0" borderId="118" xfId="5" applyNumberFormat="1" applyFont="1" applyFill="1" applyBorder="1" applyAlignment="1">
      <alignment horizontal="center" vertical="center" wrapText="1"/>
    </xf>
    <xf numFmtId="0" fontId="59" fillId="0" borderId="16" xfId="5" applyNumberFormat="1" applyFont="1" applyFill="1" applyBorder="1" applyAlignment="1">
      <alignment horizontal="center" vertical="center" wrapText="1"/>
    </xf>
    <xf numFmtId="41" fontId="52" fillId="4" borderId="8" xfId="7" applyNumberFormat="1" applyFont="1" applyFill="1" applyBorder="1" applyAlignment="1">
      <alignment horizontal="center" vertical="center" wrapText="1"/>
    </xf>
    <xf numFmtId="41" fontId="52" fillId="4" borderId="118" xfId="7" applyNumberFormat="1" applyFont="1" applyFill="1" applyBorder="1" applyAlignment="1">
      <alignment horizontal="center" vertical="center" wrapText="1"/>
    </xf>
    <xf numFmtId="41" fontId="82" fillId="0" borderId="124" xfId="13" applyNumberFormat="1" applyFont="1" applyFill="1" applyBorder="1" applyAlignment="1">
      <alignment horizontal="center" vertical="center"/>
    </xf>
    <xf numFmtId="41" fontId="82" fillId="0" borderId="0" xfId="13" applyNumberFormat="1" applyFont="1" applyFill="1" applyBorder="1" applyAlignment="1">
      <alignment horizontal="center" vertical="center"/>
    </xf>
    <xf numFmtId="41" fontId="37" fillId="0" borderId="124" xfId="13" applyNumberFormat="1" applyFont="1" applyFill="1" applyBorder="1" applyAlignment="1">
      <alignment horizontal="right" vertical="center"/>
    </xf>
    <xf numFmtId="41" fontId="37" fillId="0" borderId="0" xfId="13" applyNumberFormat="1" applyFont="1" applyFill="1" applyBorder="1" applyAlignment="1">
      <alignment horizontal="right" vertical="center"/>
    </xf>
    <xf numFmtId="41" fontId="82" fillId="0" borderId="0" xfId="13" applyNumberFormat="1" applyFont="1" applyFill="1" applyBorder="1" applyAlignment="1">
      <alignment horizontal="center" vertical="center" shrinkToFit="1"/>
    </xf>
    <xf numFmtId="41" fontId="82" fillId="0" borderId="39" xfId="13" applyNumberFormat="1" applyFont="1" applyFill="1" applyBorder="1" applyAlignment="1">
      <alignment horizontal="center" vertical="center" shrinkToFit="1"/>
    </xf>
    <xf numFmtId="41" fontId="37" fillId="0" borderId="124" xfId="13" applyNumberFormat="1" applyFont="1" applyFill="1" applyBorder="1" applyAlignment="1">
      <alignment horizontal="center" vertical="center"/>
    </xf>
    <xf numFmtId="41" fontId="37" fillId="0" borderId="0" xfId="13" applyNumberFormat="1" applyFont="1" applyFill="1" applyBorder="1" applyAlignment="1">
      <alignment horizontal="center" vertical="center"/>
    </xf>
    <xf numFmtId="0" fontId="42" fillId="12" borderId="101" xfId="6" applyNumberFormat="1" applyFont="1" applyFill="1" applyBorder="1" applyAlignment="1">
      <alignment horizontal="center" vertical="center"/>
    </xf>
    <xf numFmtId="0" fontId="42" fillId="12" borderId="8" xfId="6" applyNumberFormat="1" applyFont="1" applyFill="1" applyBorder="1" applyAlignment="1">
      <alignment horizontal="center" vertical="center"/>
    </xf>
    <xf numFmtId="0" fontId="42" fillId="12" borderId="9" xfId="6" applyNumberFormat="1" applyFont="1" applyFill="1" applyBorder="1" applyAlignment="1">
      <alignment horizontal="center" vertical="center"/>
    </xf>
    <xf numFmtId="0" fontId="42" fillId="12" borderId="119" xfId="6" applyNumberFormat="1" applyFont="1" applyFill="1" applyBorder="1" applyAlignment="1">
      <alignment horizontal="center" vertical="center"/>
    </xf>
    <xf numFmtId="0" fontId="42" fillId="12" borderId="118" xfId="6" applyNumberFormat="1" applyFont="1" applyFill="1" applyBorder="1" applyAlignment="1">
      <alignment horizontal="center" vertical="center"/>
    </xf>
    <xf numFmtId="0" fontId="42" fillId="12" borderId="145" xfId="6" applyNumberFormat="1" applyFont="1" applyFill="1" applyBorder="1" applyAlignment="1">
      <alignment horizontal="center" vertical="center"/>
    </xf>
    <xf numFmtId="0" fontId="54" fillId="12" borderId="79" xfId="16" applyNumberFormat="1" applyFont="1" applyFill="1" applyBorder="1" applyAlignment="1">
      <alignment horizontal="center" vertical="center"/>
    </xf>
    <xf numFmtId="0" fontId="54" fillId="12" borderId="15" xfId="16" applyNumberFormat="1" applyFont="1" applyFill="1" applyBorder="1" applyAlignment="1">
      <alignment horizontal="center" vertical="center"/>
    </xf>
    <xf numFmtId="0" fontId="54" fillId="12" borderId="48" xfId="16" applyNumberFormat="1" applyFont="1" applyFill="1" applyBorder="1" applyAlignment="1">
      <alignment horizontal="center" vertical="center"/>
    </xf>
    <xf numFmtId="0" fontId="52" fillId="0" borderId="120" xfId="5" applyFont="1" applyBorder="1" applyAlignment="1">
      <alignment horizontal="left" vertical="center"/>
    </xf>
    <xf numFmtId="0" fontId="52" fillId="0" borderId="30" xfId="5" applyFont="1" applyBorder="1" applyAlignment="1">
      <alignment horizontal="left" vertical="center"/>
    </xf>
    <xf numFmtId="0" fontId="37" fillId="0" borderId="5" xfId="5" applyFont="1" applyBorder="1" applyAlignment="1">
      <alignment horizontal="left" vertical="center"/>
    </xf>
    <xf numFmtId="0" fontId="42" fillId="0" borderId="39" xfId="16" applyNumberFormat="1" applyFont="1" applyFill="1" applyBorder="1" applyAlignment="1">
      <alignment horizontal="left" vertical="center" wrapText="1"/>
    </xf>
    <xf numFmtId="0" fontId="42" fillId="12" borderId="25" xfId="6" applyNumberFormat="1" applyFont="1" applyFill="1" applyBorder="1" applyAlignment="1">
      <alignment horizontal="center" vertical="center"/>
    </xf>
    <xf numFmtId="0" fontId="42" fillId="12" borderId="22" xfId="6" applyNumberFormat="1" applyFont="1" applyFill="1" applyBorder="1" applyAlignment="1">
      <alignment horizontal="center" vertical="center"/>
    </xf>
    <xf numFmtId="0" fontId="42" fillId="12" borderId="125" xfId="6" applyNumberFormat="1" applyFont="1" applyFill="1" applyBorder="1" applyAlignment="1">
      <alignment horizontal="center" vertical="center"/>
    </xf>
    <xf numFmtId="0" fontId="42" fillId="12" borderId="143" xfId="6" applyNumberFormat="1" applyFont="1" applyFill="1" applyBorder="1" applyAlignment="1">
      <alignment horizontal="center" vertical="center"/>
    </xf>
    <xf numFmtId="177" fontId="42" fillId="12" borderId="125" xfId="7" applyNumberFormat="1" applyFont="1" applyFill="1" applyBorder="1" applyAlignment="1">
      <alignment horizontal="center" vertical="center" wrapText="1"/>
    </xf>
    <xf numFmtId="177" fontId="42" fillId="12" borderId="148" xfId="7" applyNumberFormat="1" applyFont="1" applyFill="1" applyBorder="1" applyAlignment="1">
      <alignment horizontal="center" vertical="center" wrapText="1"/>
    </xf>
    <xf numFmtId="177" fontId="42" fillId="12" borderId="8" xfId="7" applyNumberFormat="1" applyFont="1" applyFill="1" applyBorder="1" applyAlignment="1">
      <alignment horizontal="center" vertical="center" wrapText="1"/>
    </xf>
    <xf numFmtId="177" fontId="42" fillId="12" borderId="118" xfId="7" applyNumberFormat="1" applyFont="1" applyFill="1" applyBorder="1" applyAlignment="1">
      <alignment horizontal="center" vertical="center" wrapText="1"/>
    </xf>
    <xf numFmtId="0" fontId="52" fillId="4" borderId="101" xfId="6" applyFont="1" applyFill="1" applyBorder="1" applyAlignment="1">
      <alignment horizontal="center" vertical="center"/>
    </xf>
    <xf numFmtId="0" fontId="52" fillId="4" borderId="8" xfId="6" applyFont="1" applyFill="1" applyBorder="1" applyAlignment="1">
      <alignment horizontal="center" vertical="center"/>
    </xf>
    <xf numFmtId="0" fontId="52" fillId="4" borderId="9" xfId="6" applyFont="1" applyFill="1" applyBorder="1" applyAlignment="1">
      <alignment horizontal="center" vertical="center"/>
    </xf>
    <xf numFmtId="0" fontId="52" fillId="4" borderId="119" xfId="6" applyFont="1" applyFill="1" applyBorder="1" applyAlignment="1">
      <alignment horizontal="center" vertical="center"/>
    </xf>
    <xf numFmtId="0" fontId="52" fillId="4" borderId="118" xfId="6" applyFont="1" applyFill="1" applyBorder="1" applyAlignment="1">
      <alignment horizontal="center" vertical="center"/>
    </xf>
    <xf numFmtId="0" fontId="52" fillId="4" borderId="145" xfId="6" applyFont="1" applyFill="1" applyBorder="1" applyAlignment="1">
      <alignment horizontal="center" vertical="center"/>
    </xf>
    <xf numFmtId="0" fontId="75" fillId="4" borderId="79" xfId="4" applyFont="1" applyFill="1" applyBorder="1" applyAlignment="1">
      <alignment horizontal="center" vertical="center"/>
    </xf>
    <xf numFmtId="0" fontId="75" fillId="4" borderId="15" xfId="4" applyFont="1" applyFill="1" applyBorder="1" applyAlignment="1">
      <alignment horizontal="center" vertical="center"/>
    </xf>
    <xf numFmtId="0" fontId="75" fillId="4" borderId="48" xfId="4" applyFont="1" applyFill="1" applyBorder="1" applyAlignment="1">
      <alignment horizontal="center" vertical="center"/>
    </xf>
    <xf numFmtId="0" fontId="49" fillId="0" borderId="124" xfId="7" applyNumberFormat="1" applyFont="1" applyBorder="1" applyAlignment="1">
      <alignment horizontal="left" vertical="center"/>
    </xf>
    <xf numFmtId="0" fontId="49" fillId="0" borderId="0" xfId="7" applyNumberFormat="1" applyFont="1" applyAlignment="1">
      <alignment horizontal="left" vertical="center"/>
    </xf>
    <xf numFmtId="0" fontId="42" fillId="4" borderId="25" xfId="6" applyFont="1" applyFill="1" applyBorder="1" applyAlignment="1">
      <alignment horizontal="center" vertical="center" wrapText="1"/>
    </xf>
    <xf numFmtId="0" fontId="42" fillId="4" borderId="22" xfId="6" applyFont="1" applyFill="1" applyBorder="1" applyAlignment="1">
      <alignment horizontal="center" vertical="center"/>
    </xf>
    <xf numFmtId="0" fontId="42" fillId="4" borderId="125" xfId="6" applyFont="1" applyFill="1" applyBorder="1" applyAlignment="1">
      <alignment horizontal="center" vertical="center"/>
    </xf>
    <xf numFmtId="0" fontId="42" fillId="4" borderId="143" xfId="6" applyFont="1" applyFill="1" applyBorder="1" applyAlignment="1">
      <alignment horizontal="center" vertical="center"/>
    </xf>
    <xf numFmtId="0" fontId="42" fillId="4" borderId="101" xfId="6" applyFont="1" applyFill="1" applyBorder="1" applyAlignment="1">
      <alignment horizontal="center" vertical="center"/>
    </xf>
    <xf numFmtId="41" fontId="52" fillId="4" borderId="125" xfId="7" applyFont="1" applyFill="1" applyBorder="1" applyAlignment="1">
      <alignment horizontal="center" vertical="center" wrapText="1"/>
    </xf>
    <xf numFmtId="41" fontId="52" fillId="4" borderId="148" xfId="7" applyFont="1" applyFill="1" applyBorder="1" applyAlignment="1">
      <alignment horizontal="center" vertical="center" wrapText="1"/>
    </xf>
    <xf numFmtId="41" fontId="52" fillId="4" borderId="8" xfId="7" applyFont="1" applyFill="1" applyBorder="1" applyAlignment="1">
      <alignment horizontal="center" vertical="center" wrapText="1"/>
    </xf>
    <xf numFmtId="41" fontId="52" fillId="4" borderId="118" xfId="7" applyFont="1" applyFill="1" applyBorder="1" applyAlignment="1">
      <alignment horizontal="center" vertical="center" wrapText="1"/>
    </xf>
    <xf numFmtId="0" fontId="20" fillId="0" borderId="0" xfId="4" applyFont="1" applyAlignment="1">
      <alignment horizontal="center"/>
    </xf>
    <xf numFmtId="0" fontId="37" fillId="0" borderId="10" xfId="4" applyFont="1" applyBorder="1" applyAlignment="1">
      <alignment horizontal="center" vertical="center"/>
    </xf>
    <xf numFmtId="0" fontId="37" fillId="0" borderId="12" xfId="4" applyFont="1" applyBorder="1" applyAlignment="1">
      <alignment horizontal="center" vertical="center"/>
    </xf>
    <xf numFmtId="0" fontId="37" fillId="2" borderId="21" xfId="4" applyFont="1" applyFill="1" applyBorder="1" applyAlignment="1">
      <alignment horizontal="center" vertical="center"/>
    </xf>
    <xf numFmtId="0" fontId="37" fillId="2" borderId="19" xfId="4" applyFont="1" applyFill="1" applyBorder="1" applyAlignment="1">
      <alignment horizontal="center" vertical="center"/>
    </xf>
    <xf numFmtId="0" fontId="55" fillId="0" borderId="5" xfId="4" applyFont="1" applyBorder="1" applyAlignment="1">
      <alignment horizontal="left" vertical="center"/>
    </xf>
    <xf numFmtId="0" fontId="55" fillId="0" borderId="120" xfId="4" applyFont="1" applyBorder="1" applyAlignment="1">
      <alignment horizontal="left" vertical="center"/>
    </xf>
    <xf numFmtId="0" fontId="92" fillId="0" borderId="0" xfId="4" applyFont="1" applyAlignment="1">
      <alignment horizontal="left" vertical="center"/>
    </xf>
    <xf numFmtId="0" fontId="37" fillId="2" borderId="79" xfId="4" applyFont="1" applyFill="1" applyBorder="1" applyAlignment="1">
      <alignment horizontal="center" vertical="center"/>
    </xf>
    <xf numFmtId="0" fontId="37" fillId="2" borderId="15" xfId="4" applyFont="1" applyFill="1" applyBorder="1" applyAlignment="1">
      <alignment horizontal="center" vertical="center"/>
    </xf>
    <xf numFmtId="0" fontId="37" fillId="2" borderId="48" xfId="4" applyFont="1" applyFill="1" applyBorder="1" applyAlignment="1">
      <alignment horizontal="center" vertical="center"/>
    </xf>
    <xf numFmtId="0" fontId="38" fillId="0" borderId="79" xfId="4" applyFont="1" applyBorder="1" applyAlignment="1">
      <alignment horizontal="left" vertical="center"/>
    </xf>
    <xf numFmtId="0" fontId="38" fillId="0" borderId="15" xfId="4" applyFont="1" applyBorder="1" applyAlignment="1">
      <alignment horizontal="left" vertical="center"/>
    </xf>
    <xf numFmtId="0" fontId="38" fillId="0" borderId="48" xfId="4" applyFont="1" applyBorder="1" applyAlignment="1">
      <alignment horizontal="left" vertical="center"/>
    </xf>
    <xf numFmtId="0" fontId="38" fillId="0" borderId="8" xfId="4" applyFont="1" applyBorder="1" applyAlignment="1">
      <alignment horizontal="left" vertical="center"/>
    </xf>
    <xf numFmtId="0" fontId="38" fillId="0" borderId="125" xfId="4" applyFont="1" applyBorder="1" applyAlignment="1">
      <alignment horizontal="left" vertical="center"/>
    </xf>
    <xf numFmtId="0" fontId="99" fillId="0" borderId="0" xfId="22" applyFont="1" applyFill="1" applyAlignment="1" applyProtection="1">
      <alignment horizontal="center" vertical="center"/>
      <protection locked="0"/>
    </xf>
    <xf numFmtId="0" fontId="101" fillId="0" borderId="0" xfId="22" applyFont="1" applyFill="1" applyAlignment="1" applyProtection="1">
      <alignment horizontal="right" vertical="center"/>
      <protection locked="0"/>
    </xf>
    <xf numFmtId="0" fontId="103" fillId="0" borderId="113" xfId="22" applyFont="1" applyFill="1" applyBorder="1" applyAlignment="1" applyProtection="1">
      <alignment horizontal="left" vertical="center"/>
      <protection locked="0"/>
    </xf>
    <xf numFmtId="0" fontId="29" fillId="0" borderId="214" xfId="22" applyNumberFormat="1" applyFont="1" applyFill="1" applyBorder="1" applyAlignment="1" applyProtection="1">
      <alignment horizontal="left" vertical="center" wrapText="1"/>
      <protection locked="0"/>
    </xf>
    <xf numFmtId="0" fontId="29" fillId="0" borderId="210" xfId="22" applyNumberFormat="1" applyFont="1" applyFill="1" applyBorder="1" applyAlignment="1" applyProtection="1">
      <alignment horizontal="left" vertical="center" wrapText="1"/>
      <protection locked="0"/>
    </xf>
    <xf numFmtId="0" fontId="29" fillId="0" borderId="213" xfId="22" applyNumberFormat="1" applyFont="1" applyFill="1" applyBorder="1" applyAlignment="1" applyProtection="1">
      <alignment horizontal="left" vertical="center" wrapText="1"/>
      <protection locked="0"/>
    </xf>
    <xf numFmtId="182" fontId="105" fillId="0" borderId="51" xfId="22" applyNumberFormat="1" applyFont="1" applyFill="1" applyBorder="1" applyAlignment="1">
      <alignment horizontal="center" vertical="center" wrapText="1"/>
    </xf>
    <xf numFmtId="182" fontId="105" fillId="0" borderId="198" xfId="22" applyNumberFormat="1" applyFont="1" applyFill="1" applyBorder="1" applyAlignment="1">
      <alignment horizontal="center" vertical="center" wrapText="1"/>
    </xf>
    <xf numFmtId="0" fontId="105" fillId="0" borderId="195" xfId="22" applyFont="1" applyFill="1" applyBorder="1" applyAlignment="1">
      <alignment horizontal="center" vertical="center" wrapText="1"/>
    </xf>
    <xf numFmtId="0" fontId="105" fillId="0" borderId="199" xfId="22" applyFont="1" applyFill="1" applyBorder="1" applyAlignment="1">
      <alignment horizontal="center" vertical="center" wrapText="1"/>
    </xf>
    <xf numFmtId="0" fontId="106" fillId="0" borderId="200" xfId="22" applyFont="1" applyFill="1" applyBorder="1" applyAlignment="1" applyProtection="1">
      <alignment horizontal="center" vertical="center"/>
      <protection locked="0"/>
    </xf>
    <xf numFmtId="0" fontId="106" fillId="0" borderId="201" xfId="22" applyFont="1" applyFill="1" applyBorder="1" applyAlignment="1" applyProtection="1">
      <alignment horizontal="center" vertical="center"/>
      <protection locked="0"/>
    </xf>
    <xf numFmtId="0" fontId="29" fillId="0" borderId="204" xfId="22" applyNumberFormat="1" applyFont="1" applyFill="1" applyBorder="1" applyAlignment="1" applyProtection="1">
      <alignment horizontal="left" vertical="center" wrapText="1"/>
      <protection locked="0"/>
    </xf>
    <xf numFmtId="0" fontId="29" fillId="0" borderId="205" xfId="22" applyNumberFormat="1" applyFont="1" applyFill="1" applyBorder="1" applyAlignment="1" applyProtection="1">
      <alignment horizontal="left" vertical="center" wrapText="1"/>
      <protection locked="0"/>
    </xf>
    <xf numFmtId="0" fontId="105" fillId="0" borderId="194" xfId="22" applyFont="1" applyFill="1" applyBorder="1" applyAlignment="1">
      <alignment horizontal="center" vertical="center" wrapText="1"/>
    </xf>
    <xf numFmtId="0" fontId="105" fillId="0" borderId="166" xfId="22" applyFont="1" applyFill="1" applyBorder="1" applyAlignment="1">
      <alignment horizontal="center" vertical="center" wrapText="1"/>
    </xf>
    <xf numFmtId="0" fontId="105" fillId="0" borderId="71" xfId="22" applyFont="1" applyFill="1" applyBorder="1" applyAlignment="1">
      <alignment horizontal="center" vertical="center" wrapText="1"/>
    </xf>
    <xf numFmtId="0" fontId="105" fillId="0" borderId="51" xfId="22" applyFont="1" applyFill="1" applyBorder="1" applyAlignment="1">
      <alignment horizontal="center" vertical="center" wrapText="1"/>
    </xf>
    <xf numFmtId="0" fontId="105" fillId="0" borderId="198" xfId="22" applyFont="1" applyFill="1" applyBorder="1" applyAlignment="1">
      <alignment horizontal="center" vertical="center" wrapText="1"/>
    </xf>
  </cellXfs>
  <cellStyles count="24">
    <cellStyle name="쉼표 [0] 2" xfId="7" xr:uid="{6A58D201-FC1F-448F-8D39-796951A44D7B}"/>
    <cellStyle name="쉼표 [0] 2 2" xfId="3" xr:uid="{3244E242-DAF6-4234-A3E1-B3468E54E3E9}"/>
    <cellStyle name="쉼표 [0] 2 2 4" xfId="15" xr:uid="{61B79D45-53F7-458E-9DA8-B2E20D584D8A}"/>
    <cellStyle name="쉼표 [0] 2 2 5" xfId="17" xr:uid="{D4DCFE23-B1F3-47AC-BC3E-B5C5EB638755}"/>
    <cellStyle name="쉼표 [0] 2 3 2" xfId="11" xr:uid="{00921C5B-6ACA-4BD7-B0CA-82A2E25033DD}"/>
    <cellStyle name="쉼표 [0] 2 3 2 2" xfId="18" xr:uid="{B163A6BB-E0A0-48E7-8E5D-D31FE1712D39}"/>
    <cellStyle name="쉼표 [0] 3" xfId="2" xr:uid="{F679B750-1244-4E26-9D9F-84E389DDF2FC}"/>
    <cellStyle name="쉼표 [0] 4" xfId="10" xr:uid="{73985C1E-AE1E-45E0-B269-59A7406C4E96}"/>
    <cellStyle name="쉼표 [0] 5" xfId="23" xr:uid="{E8F8C5E1-6279-4B8C-AF25-8416C80B2762}"/>
    <cellStyle name="쉼표 [0] 5 3" xfId="13" xr:uid="{B11230F1-F8F8-45A5-8E13-87011536C8C9}"/>
    <cellStyle name="쉼표 [0] 9" xfId="14" xr:uid="{F6CF2DAB-803E-4AA4-9F44-72AF2AC04693}"/>
    <cellStyle name="표준" xfId="0" builtinId="0"/>
    <cellStyle name="표준 2" xfId="5" xr:uid="{A712C677-3654-4093-9C5D-F266D1EC272E}"/>
    <cellStyle name="표준 2 2" xfId="6" xr:uid="{B829FE39-AC09-4C7F-BAA3-58D8C0CCD251}"/>
    <cellStyle name="표준 2 2 2" xfId="4" xr:uid="{A825EB56-4576-4F9A-A4FB-BFBE4080A0BA}"/>
    <cellStyle name="표준 2 2 2 2" xfId="16" xr:uid="{CA35D6F5-62AF-4F36-80AE-964803AB456F}"/>
    <cellStyle name="표준 2 5 2 2 2 2 3 2" xfId="21" xr:uid="{0009361F-6762-44D3-9610-D3771ECADB9B}"/>
    <cellStyle name="표준 3" xfId="8" xr:uid="{A58BDE7F-8973-4FC7-8071-989790DFB2DD}"/>
    <cellStyle name="표준 3 2" xfId="12" xr:uid="{E875752F-8D18-4595-A55E-E9C811FFAE28}"/>
    <cellStyle name="표준 3 2 2 2" xfId="20" xr:uid="{ED571498-1A9F-4929-BBD5-37977B0E9A93}"/>
    <cellStyle name="표준 4" xfId="1" xr:uid="{7F09878F-D1B1-46C1-BFFF-99CFF3A7EA58}"/>
    <cellStyle name="표준 5" xfId="9" xr:uid="{CC670BD6-A597-4F75-96BA-569EF85FA685}"/>
    <cellStyle name="표준 5 3" xfId="19" xr:uid="{B61867E2-35D3-43AE-A428-BB26BB009007}"/>
    <cellStyle name="표준 6" xfId="22" xr:uid="{A6CF7DE8-9B35-484F-B4DC-86010902D5BD}"/>
  </cellStyles>
  <dxfs count="36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203864"/>
      </font>
      <fill>
        <patternFill>
          <bgColor rgb="FFBED7EE"/>
        </patternFill>
      </fill>
    </dxf>
    <dxf>
      <fill>
        <patternFill>
          <bgColor rgb="FFDBDBDB"/>
        </patternFill>
      </fill>
    </dxf>
    <dxf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203864"/>
      </font>
      <fill>
        <patternFill>
          <bgColor rgb="FFBED7EE"/>
        </patternFill>
      </fill>
    </dxf>
    <dxf>
      <fill>
        <patternFill>
          <bgColor rgb="FFDBDBDB"/>
        </patternFill>
      </fill>
    </dxf>
    <dxf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203864"/>
      </font>
      <fill>
        <patternFill>
          <bgColor rgb="FFBED7EE"/>
        </patternFill>
      </fill>
    </dxf>
    <dxf>
      <fill>
        <patternFill>
          <bgColor rgb="FFDBDBDB"/>
        </patternFill>
      </fill>
    </dxf>
    <dxf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203864"/>
      </font>
      <fill>
        <patternFill>
          <bgColor rgb="FFBED7EE"/>
        </patternFill>
      </fill>
    </dxf>
    <dxf>
      <fill>
        <patternFill>
          <bgColor rgb="FFDBDBDB"/>
        </patternFill>
      </fill>
    </dxf>
    <dxf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203864"/>
      </font>
      <fill>
        <patternFill>
          <bgColor rgb="FFBED7EE"/>
        </patternFill>
      </fill>
    </dxf>
    <dxf>
      <fill>
        <patternFill>
          <bgColor rgb="FFDBDBDB"/>
        </patternFill>
      </fill>
    </dxf>
    <dxf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203864"/>
      </font>
      <fill>
        <patternFill>
          <bgColor rgb="FFBED7EE"/>
        </patternFill>
      </fill>
    </dxf>
    <dxf>
      <fill>
        <patternFill>
          <bgColor rgb="FFDBDBDB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12</xdr:row>
      <xdr:rowOff>76200</xdr:rowOff>
    </xdr:from>
    <xdr:to>
      <xdr:col>6</xdr:col>
      <xdr:colOff>1396253</xdr:colOff>
      <xdr:row>16</xdr:row>
      <xdr:rowOff>158002</xdr:rowOff>
    </xdr:to>
    <xdr:pic>
      <xdr:nvPicPr>
        <xdr:cNvPr id="3" name="_x118233016" descr="EMB00002d0449d9">
          <a:extLst>
            <a:ext uri="{FF2B5EF4-FFF2-40B4-BE49-F238E27FC236}">
              <a16:creationId xmlns:a16="http://schemas.microsoft.com/office/drawing/2014/main" id="{D52AEEA5-D681-46CE-BA43-55E7A3AD0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4067175"/>
          <a:ext cx="3844178" cy="881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04326-CE4D-4235-B02B-864D20EECF41}">
  <dimension ref="A1:H17"/>
  <sheetViews>
    <sheetView tabSelected="1" zoomScaleNormal="100" workbookViewId="0">
      <selection activeCell="F22" sqref="F22"/>
    </sheetView>
  </sheetViews>
  <sheetFormatPr defaultRowHeight="16.5"/>
  <cols>
    <col min="1" max="2" width="12.25" customWidth="1"/>
    <col min="3" max="3" width="10.875" customWidth="1"/>
    <col min="4" max="4" width="10.125" customWidth="1"/>
    <col min="7" max="7" width="33.5" customWidth="1"/>
    <col min="8" max="8" width="16.25" customWidth="1"/>
  </cols>
  <sheetData>
    <row r="1" spans="1:8" ht="28.5" customHeight="1">
      <c r="A1" s="2229"/>
      <c r="B1" s="2229"/>
      <c r="C1" s="2229"/>
      <c r="D1" s="2229"/>
      <c r="E1" s="2229"/>
      <c r="F1" s="2229"/>
      <c r="G1" s="2229"/>
      <c r="H1" s="2229"/>
    </row>
    <row r="2" spans="1:8" ht="28.5" customHeight="1" thickBot="1">
      <c r="A2" s="1"/>
      <c r="B2" s="1"/>
      <c r="C2" s="1"/>
      <c r="D2" s="1"/>
      <c r="E2" s="1"/>
      <c r="F2" s="1"/>
      <c r="G2" s="1"/>
      <c r="H2" s="1" t="s">
        <v>0</v>
      </c>
    </row>
    <row r="3" spans="1:8" ht="34.5" customHeight="1" thickTop="1">
      <c r="A3" s="2"/>
      <c r="B3" s="3"/>
      <c r="C3" s="4"/>
      <c r="D3" s="4"/>
      <c r="E3" s="4"/>
      <c r="F3" s="4"/>
      <c r="G3" s="4"/>
      <c r="H3" s="4"/>
    </row>
    <row r="4" spans="1:8" ht="13.5" customHeight="1">
      <c r="A4" s="4"/>
      <c r="B4" s="4"/>
      <c r="C4" s="4"/>
      <c r="D4" s="4"/>
      <c r="E4" s="4"/>
      <c r="F4" s="4"/>
      <c r="G4" s="4"/>
      <c r="H4" s="4"/>
    </row>
    <row r="5" spans="1:8" ht="22.5" customHeight="1">
      <c r="A5" s="4"/>
      <c r="B5" s="4"/>
      <c r="C5" s="4"/>
      <c r="D5" s="4"/>
      <c r="E5" s="4"/>
      <c r="F5" s="4"/>
      <c r="G5" s="4"/>
      <c r="H5" s="5" t="s">
        <v>2267</v>
      </c>
    </row>
    <row r="6" spans="1:8" ht="39" customHeight="1">
      <c r="A6" s="2230" t="s">
        <v>1</v>
      </c>
      <c r="B6" s="2231"/>
      <c r="C6" s="2231"/>
      <c r="D6" s="2231"/>
      <c r="E6" s="2231"/>
      <c r="F6" s="2231"/>
      <c r="G6" s="2231"/>
      <c r="H6" s="2231"/>
    </row>
    <row r="7" spans="1:8" ht="11.25" customHeight="1">
      <c r="A7" s="4"/>
      <c r="B7" s="4"/>
      <c r="C7" s="4"/>
      <c r="D7" s="4"/>
      <c r="E7" s="4"/>
      <c r="F7" s="4"/>
      <c r="G7" s="4"/>
      <c r="H7" s="4"/>
    </row>
    <row r="8" spans="1:8" ht="50.25" customHeight="1">
      <c r="A8" s="2232" t="s">
        <v>2</v>
      </c>
      <c r="B8" s="2232"/>
      <c r="C8" s="2232"/>
      <c r="D8" s="2232"/>
      <c r="E8" s="2232"/>
      <c r="F8" s="2232"/>
      <c r="G8" s="2232"/>
      <c r="H8" s="2232"/>
    </row>
    <row r="9" spans="1:8" ht="27.75" customHeight="1">
      <c r="A9" s="6"/>
      <c r="B9" s="2233"/>
      <c r="C9" s="2233"/>
      <c r="D9" s="2233"/>
      <c r="E9" s="2233"/>
      <c r="F9" s="2233"/>
      <c r="G9" s="2233"/>
      <c r="H9" s="4"/>
    </row>
    <row r="10" spans="1:8" ht="16.5" customHeight="1">
      <c r="A10" s="6"/>
      <c r="B10" s="6"/>
      <c r="C10" s="6"/>
      <c r="D10" s="6"/>
      <c r="E10" s="6"/>
      <c r="F10" s="6"/>
      <c r="G10" s="6"/>
      <c r="H10" s="4"/>
    </row>
    <row r="11" spans="1:8" ht="16.5" customHeight="1">
      <c r="A11" s="6"/>
      <c r="B11" s="6"/>
      <c r="C11" s="6"/>
      <c r="D11" s="6"/>
      <c r="E11" s="6"/>
      <c r="F11" s="6"/>
      <c r="G11" s="6"/>
      <c r="H11" s="4"/>
    </row>
    <row r="12" spans="1:8" ht="25.5" customHeight="1">
      <c r="A12" s="2234"/>
      <c r="B12" s="2234"/>
      <c r="C12" s="2234"/>
      <c r="D12" s="2234"/>
      <c r="E12" s="2234"/>
      <c r="F12" s="2234"/>
      <c r="G12" s="2234"/>
      <c r="H12" s="2234"/>
    </row>
    <row r="13" spans="1:8" ht="16.5" customHeight="1">
      <c r="A13" s="6"/>
      <c r="B13" s="6"/>
      <c r="C13" s="6"/>
      <c r="D13" s="6"/>
      <c r="E13" s="6"/>
      <c r="F13" s="6"/>
      <c r="G13" s="6"/>
      <c r="H13" s="4"/>
    </row>
    <row r="14" spans="1:8" ht="16.5" customHeight="1">
      <c r="A14" s="6"/>
      <c r="B14" s="7"/>
      <c r="C14" s="6"/>
      <c r="D14" s="6"/>
      <c r="E14" s="6"/>
      <c r="F14" s="6"/>
      <c r="G14" s="6"/>
      <c r="H14" s="4"/>
    </row>
    <row r="15" spans="1:8" ht="16.5" customHeight="1">
      <c r="A15" s="6"/>
      <c r="B15" s="6"/>
      <c r="C15" s="6"/>
      <c r="D15" s="6"/>
      <c r="E15" s="6"/>
      <c r="F15" s="6"/>
      <c r="G15" s="6"/>
      <c r="H15" s="4"/>
    </row>
    <row r="16" spans="1:8" ht="13.5" customHeight="1">
      <c r="A16" s="4"/>
      <c r="B16" s="4"/>
      <c r="C16" s="4"/>
      <c r="D16" s="4"/>
      <c r="E16" s="4"/>
      <c r="F16" s="4"/>
      <c r="G16" s="4"/>
      <c r="H16" s="4"/>
    </row>
    <row r="17" spans="1:8" ht="35.25" customHeight="1">
      <c r="A17" s="2228"/>
      <c r="B17" s="2228"/>
      <c r="C17" s="2228"/>
      <c r="D17" s="2228"/>
      <c r="E17" s="2228"/>
      <c r="F17" s="2228"/>
      <c r="G17" s="2228"/>
      <c r="H17" s="2228"/>
    </row>
  </sheetData>
  <mergeCells count="6">
    <mergeCell ref="A17:H17"/>
    <mergeCell ref="A1:H1"/>
    <mergeCell ref="A6:H6"/>
    <mergeCell ref="A8:H8"/>
    <mergeCell ref="B9:G9"/>
    <mergeCell ref="A12:H12"/>
  </mergeCells>
  <phoneticPr fontId="3" type="noConversion"/>
  <pageMargins left="0.94488188976377963" right="0.78740157480314965" top="0.6692913385826772" bottom="0.98425196850393704" header="0.51181102362204722" footer="0.51181102362204722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01A2F-E2D6-4461-977D-8A1FEDAD89EE}">
  <dimension ref="A1:F27"/>
  <sheetViews>
    <sheetView zoomScaleNormal="100" workbookViewId="0">
      <selection activeCell="J14" sqref="J14"/>
    </sheetView>
  </sheetViews>
  <sheetFormatPr defaultRowHeight="16.5"/>
  <cols>
    <col min="1" max="6" width="22.375" customWidth="1"/>
  </cols>
  <sheetData>
    <row r="1" spans="1:6" ht="36.75" customHeight="1">
      <c r="A1" s="132" t="s">
        <v>190</v>
      </c>
    </row>
    <row r="2" spans="1:6" ht="21" customHeight="1" thickBot="1">
      <c r="A2" s="161"/>
      <c r="B2" s="134"/>
      <c r="C2" s="133"/>
      <c r="D2" s="134"/>
      <c r="E2" s="134"/>
      <c r="F2" s="162" t="s">
        <v>980</v>
      </c>
    </row>
    <row r="3" spans="1:6" ht="15.75" customHeight="1">
      <c r="A3" s="2290" t="s">
        <v>191</v>
      </c>
      <c r="B3" s="2291"/>
      <c r="C3" s="2292"/>
      <c r="D3" s="2290" t="s">
        <v>192</v>
      </c>
      <c r="E3" s="2291"/>
      <c r="F3" s="2292"/>
    </row>
    <row r="4" spans="1:6" ht="15.75" customHeight="1">
      <c r="A4" s="2293" t="s">
        <v>168</v>
      </c>
      <c r="B4" s="2294"/>
      <c r="C4" s="163" t="s">
        <v>169</v>
      </c>
      <c r="D4" s="2293" t="s">
        <v>168</v>
      </c>
      <c r="E4" s="2294"/>
      <c r="F4" s="178" t="s">
        <v>169</v>
      </c>
    </row>
    <row r="5" spans="1:6" ht="15.75" customHeight="1">
      <c r="A5" s="2295" t="s">
        <v>170</v>
      </c>
      <c r="B5" s="2296"/>
      <c r="C5" s="2085">
        <f>C6+C10+C15+C17+C21+C24</f>
        <v>4109661</v>
      </c>
      <c r="D5" s="2295" t="s">
        <v>178</v>
      </c>
      <c r="E5" s="2296"/>
      <c r="F5" s="2086">
        <f>F6+F10+F15+F17+F19+F21+F23+F25</f>
        <v>4109661</v>
      </c>
    </row>
    <row r="6" spans="1:6" ht="15.75" customHeight="1">
      <c r="A6" s="164" t="s">
        <v>193</v>
      </c>
      <c r="B6" s="165" t="s">
        <v>194</v>
      </c>
      <c r="C6" s="2080">
        <f>SUM(C7:C9)</f>
        <v>0</v>
      </c>
      <c r="D6" s="166" t="s">
        <v>200</v>
      </c>
      <c r="E6" s="165" t="s">
        <v>194</v>
      </c>
      <c r="F6" s="2080">
        <f>SUM(F7:F9)</f>
        <v>0</v>
      </c>
    </row>
    <row r="7" spans="1:6" ht="15.75" customHeight="1">
      <c r="A7" s="166"/>
      <c r="B7" s="167" t="s">
        <v>156</v>
      </c>
      <c r="C7" s="2077">
        <v>0</v>
      </c>
      <c r="D7" s="166"/>
      <c r="E7" s="168"/>
      <c r="F7" s="2051"/>
    </row>
    <row r="8" spans="1:6" ht="15.75" customHeight="1">
      <c r="A8" s="166"/>
      <c r="B8" s="168"/>
      <c r="C8" s="2077">
        <v>0</v>
      </c>
      <c r="D8" s="166"/>
      <c r="E8" s="168" t="s">
        <v>201</v>
      </c>
      <c r="F8" s="2051">
        <v>0</v>
      </c>
    </row>
    <row r="9" spans="1:6" ht="15.75" customHeight="1">
      <c r="A9" s="169"/>
      <c r="B9" s="170"/>
      <c r="C9" s="2078">
        <v>0</v>
      </c>
      <c r="D9" s="166"/>
      <c r="E9" s="170" t="s">
        <v>202</v>
      </c>
      <c r="F9" s="2078">
        <v>0</v>
      </c>
    </row>
    <row r="10" spans="1:6" ht="15.75" customHeight="1">
      <c r="A10" s="171" t="s">
        <v>150</v>
      </c>
      <c r="B10" s="165" t="s">
        <v>194</v>
      </c>
      <c r="C10" s="2078">
        <f>SUM(C11:C14)</f>
        <v>0</v>
      </c>
      <c r="D10" s="164" t="s">
        <v>203</v>
      </c>
      <c r="E10" s="165" t="s">
        <v>99</v>
      </c>
      <c r="F10" s="2078">
        <f>C19</f>
        <v>3609661</v>
      </c>
    </row>
    <row r="11" spans="1:6" ht="15.75" customHeight="1">
      <c r="A11" s="166"/>
      <c r="B11" s="167" t="s">
        <v>195</v>
      </c>
      <c r="C11" s="2079">
        <v>0</v>
      </c>
      <c r="D11" s="85"/>
      <c r="E11" s="168" t="s">
        <v>204</v>
      </c>
      <c r="F11" s="2051"/>
    </row>
    <row r="12" spans="1:6" ht="15.75" customHeight="1">
      <c r="A12" s="166"/>
      <c r="B12" s="168"/>
      <c r="C12" s="2079">
        <v>0</v>
      </c>
      <c r="D12" s="176"/>
      <c r="E12" s="168" t="s">
        <v>205</v>
      </c>
      <c r="F12" s="2051">
        <f>'나. 지출예산 총괄표'!H339</f>
        <v>2780000</v>
      </c>
    </row>
    <row r="13" spans="1:6" ht="15.75" customHeight="1">
      <c r="A13" s="166"/>
      <c r="B13" s="168"/>
      <c r="C13" s="2079">
        <v>0</v>
      </c>
      <c r="D13" s="177"/>
      <c r="E13" s="168" t="s">
        <v>206</v>
      </c>
      <c r="F13" s="2051"/>
    </row>
    <row r="14" spans="1:6" ht="15.75" customHeight="1">
      <c r="A14" s="172"/>
      <c r="B14" s="173"/>
      <c r="C14" s="2079">
        <v>0</v>
      </c>
      <c r="D14" s="169"/>
      <c r="E14" s="170" t="s">
        <v>207</v>
      </c>
      <c r="F14" s="2051">
        <f>F10-F12</f>
        <v>829661</v>
      </c>
    </row>
    <row r="15" spans="1:6" ht="15.75" customHeight="1">
      <c r="A15" s="164" t="s">
        <v>151</v>
      </c>
      <c r="B15" s="165" t="s">
        <v>194</v>
      </c>
      <c r="C15" s="2081">
        <f>C16</f>
        <v>0</v>
      </c>
      <c r="D15" s="2285" t="s">
        <v>208</v>
      </c>
      <c r="E15" s="170" t="s">
        <v>194</v>
      </c>
      <c r="F15" s="2080">
        <f>F16</f>
        <v>0</v>
      </c>
    </row>
    <row r="16" spans="1:6" ht="15.75" customHeight="1">
      <c r="A16" s="166"/>
      <c r="B16" s="167" t="s">
        <v>196</v>
      </c>
      <c r="C16" s="2081">
        <v>0</v>
      </c>
      <c r="D16" s="2286"/>
      <c r="E16" s="170" t="s">
        <v>209</v>
      </c>
      <c r="F16" s="2051">
        <v>0</v>
      </c>
    </row>
    <row r="17" spans="1:6" ht="15.75" customHeight="1">
      <c r="A17" s="164" t="s">
        <v>152</v>
      </c>
      <c r="B17" s="165" t="s">
        <v>194</v>
      </c>
      <c r="C17" s="2080">
        <f>SUM(C18:C19)</f>
        <v>3609661</v>
      </c>
      <c r="D17" s="166" t="s">
        <v>210</v>
      </c>
      <c r="E17" s="170" t="s">
        <v>194</v>
      </c>
      <c r="F17" s="2080">
        <f>F18</f>
        <v>0</v>
      </c>
    </row>
    <row r="18" spans="1:6" ht="15.75" customHeight="1">
      <c r="A18" s="166"/>
      <c r="B18" s="167" t="s">
        <v>197</v>
      </c>
      <c r="C18" s="2079">
        <v>0</v>
      </c>
      <c r="D18" s="169"/>
      <c r="E18" s="170" t="s">
        <v>156</v>
      </c>
      <c r="F18" s="2080">
        <v>0</v>
      </c>
    </row>
    <row r="19" spans="1:6" ht="15.75" customHeight="1">
      <c r="A19" s="166"/>
      <c r="B19" s="168" t="s">
        <v>198</v>
      </c>
      <c r="C19" s="2077">
        <f>'가. 수입예산 총괄표(사업수익+자본적수입)'!F31</f>
        <v>3609661</v>
      </c>
      <c r="D19" s="166" t="s">
        <v>211</v>
      </c>
      <c r="E19" s="170" t="s">
        <v>99</v>
      </c>
      <c r="F19" s="2051">
        <f>F20</f>
        <v>0</v>
      </c>
    </row>
    <row r="20" spans="1:6" ht="15.75" customHeight="1">
      <c r="A20" s="169"/>
      <c r="B20" s="170"/>
      <c r="C20" s="2077"/>
      <c r="D20" s="169"/>
      <c r="E20" s="170" t="s">
        <v>212</v>
      </c>
      <c r="F20" s="2080">
        <v>0</v>
      </c>
    </row>
    <row r="21" spans="1:6" ht="15.75" customHeight="1">
      <c r="A21" s="166" t="s">
        <v>162</v>
      </c>
      <c r="B21" s="170" t="s">
        <v>194</v>
      </c>
      <c r="C21" s="2081">
        <f>SUM(C22:C23)</f>
        <v>500000</v>
      </c>
      <c r="D21" s="164" t="s">
        <v>157</v>
      </c>
      <c r="E21" s="170" t="s">
        <v>194</v>
      </c>
      <c r="F21" s="2080">
        <f>F22</f>
        <v>0</v>
      </c>
    </row>
    <row r="22" spans="1:6" ht="15.75" customHeight="1">
      <c r="A22" s="166"/>
      <c r="B22" s="168" t="s">
        <v>162</v>
      </c>
      <c r="C22" s="2081">
        <f>'가. 수입예산 총괄표(사업수익+자본적수입)'!F45</f>
        <v>500000</v>
      </c>
      <c r="D22" s="169"/>
      <c r="E22" s="170" t="s">
        <v>212</v>
      </c>
      <c r="F22" s="2080">
        <v>0</v>
      </c>
    </row>
    <row r="23" spans="1:6" ht="15.75" customHeight="1">
      <c r="A23" s="166"/>
      <c r="B23" s="168"/>
      <c r="C23" s="2077"/>
      <c r="D23" s="166" t="s">
        <v>158</v>
      </c>
      <c r="E23" s="170" t="s">
        <v>194</v>
      </c>
      <c r="F23" s="2080">
        <f>F24</f>
        <v>0</v>
      </c>
    </row>
    <row r="24" spans="1:6" ht="15.75" customHeight="1">
      <c r="A24" s="164" t="s">
        <v>199</v>
      </c>
      <c r="B24" s="165" t="s">
        <v>194</v>
      </c>
      <c r="C24" s="2080">
        <f>SUM(C25:C26)</f>
        <v>0</v>
      </c>
      <c r="D24" s="166"/>
      <c r="E24" s="170" t="s">
        <v>158</v>
      </c>
      <c r="F24" s="2051">
        <v>0</v>
      </c>
    </row>
    <row r="25" spans="1:6" ht="15.75" customHeight="1">
      <c r="A25" s="166"/>
      <c r="B25" s="167" t="s">
        <v>199</v>
      </c>
      <c r="C25" s="2077">
        <v>0</v>
      </c>
      <c r="D25" s="164" t="s">
        <v>145</v>
      </c>
      <c r="E25" s="170" t="s">
        <v>194</v>
      </c>
      <c r="F25" s="2080">
        <f>F26</f>
        <v>500000</v>
      </c>
    </row>
    <row r="26" spans="1:6" ht="15.75" customHeight="1" thickBot="1">
      <c r="A26" s="174"/>
      <c r="B26" s="175"/>
      <c r="C26" s="2082">
        <v>0</v>
      </c>
      <c r="D26" s="174"/>
      <c r="E26" s="175" t="s">
        <v>145</v>
      </c>
      <c r="F26" s="2083">
        <v>500000</v>
      </c>
    </row>
    <row r="27" spans="1:6" ht="15.75" customHeight="1" thickBot="1">
      <c r="A27" s="2287" t="s">
        <v>189</v>
      </c>
      <c r="B27" s="2288"/>
      <c r="C27" s="2288"/>
      <c r="D27" s="2288"/>
      <c r="E27" s="2289"/>
      <c r="F27" s="2084">
        <v>0</v>
      </c>
    </row>
  </sheetData>
  <mergeCells count="8">
    <mergeCell ref="D15:D16"/>
    <mergeCell ref="A27:E27"/>
    <mergeCell ref="A3:C3"/>
    <mergeCell ref="D3:F3"/>
    <mergeCell ref="A4:B4"/>
    <mergeCell ref="D4:E4"/>
    <mergeCell ref="A5:B5"/>
    <mergeCell ref="D5:E5"/>
  </mergeCells>
  <phoneticPr fontId="3" type="noConversion"/>
  <pageMargins left="0.94488188976377951" right="0.78740157480314965" top="0.6692913385826772" bottom="0.98425196850393704" header="0.51181102362204722" footer="0.51181102362204722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8B9BC-FDB7-4EA0-9096-DA13DD4F66C7}">
  <dimension ref="A1:K48"/>
  <sheetViews>
    <sheetView zoomScaleNormal="100" workbookViewId="0">
      <selection activeCell="J14" sqref="J14"/>
    </sheetView>
  </sheetViews>
  <sheetFormatPr defaultRowHeight="16.5"/>
  <cols>
    <col min="5" max="5" width="14.25" customWidth="1"/>
    <col min="6" max="8" width="13.375" customWidth="1"/>
    <col min="9" max="9" width="45.125" customWidth="1"/>
    <col min="10" max="10" width="3.625" customWidth="1"/>
    <col min="11" max="11" width="13.5" customWidth="1"/>
  </cols>
  <sheetData>
    <row r="1" spans="1:11" ht="24.95" customHeight="1">
      <c r="A1" s="179" t="s">
        <v>213</v>
      </c>
    </row>
    <row r="2" spans="1:11" ht="24.95" customHeight="1" thickBot="1">
      <c r="A2" s="180"/>
      <c r="B2" s="180"/>
      <c r="C2" s="180"/>
      <c r="D2" s="180"/>
      <c r="E2" s="180"/>
      <c r="F2" s="180"/>
      <c r="G2" s="181"/>
      <c r="H2" s="180"/>
      <c r="I2" s="180"/>
      <c r="J2" s="182"/>
      <c r="K2" s="183" t="s">
        <v>980</v>
      </c>
    </row>
    <row r="3" spans="1:11" ht="24.95" customHeight="1">
      <c r="A3" s="2328" t="s">
        <v>214</v>
      </c>
      <c r="B3" s="2329"/>
      <c r="C3" s="2329"/>
      <c r="D3" s="2329"/>
      <c r="E3" s="2330"/>
      <c r="F3" s="2331" t="s">
        <v>215</v>
      </c>
      <c r="G3" s="2333" t="s">
        <v>216</v>
      </c>
      <c r="H3" s="2335" t="s">
        <v>217</v>
      </c>
      <c r="I3" s="2315" t="s">
        <v>218</v>
      </c>
      <c r="J3" s="2316"/>
      <c r="K3" s="2317"/>
    </row>
    <row r="4" spans="1:11" ht="24.95" customHeight="1" thickBot="1">
      <c r="A4" s="184" t="s">
        <v>130</v>
      </c>
      <c r="B4" s="185" t="s">
        <v>219</v>
      </c>
      <c r="C4" s="185" t="s">
        <v>220</v>
      </c>
      <c r="D4" s="185" t="s">
        <v>221</v>
      </c>
      <c r="E4" s="185" t="s">
        <v>222</v>
      </c>
      <c r="F4" s="2332"/>
      <c r="G4" s="2334"/>
      <c r="H4" s="2336"/>
      <c r="I4" s="2318"/>
      <c r="J4" s="2319"/>
      <c r="K4" s="2320"/>
    </row>
    <row r="5" spans="1:11" ht="24.95" customHeight="1" thickBot="1">
      <c r="A5" s="2325" t="s">
        <v>223</v>
      </c>
      <c r="B5" s="2326"/>
      <c r="C5" s="2326"/>
      <c r="D5" s="2326"/>
      <c r="E5" s="2327"/>
      <c r="F5" s="2056">
        <f>F6+F28</f>
        <v>51171596</v>
      </c>
      <c r="G5" s="2057">
        <v>47211348</v>
      </c>
      <c r="H5" s="255">
        <f t="shared" ref="H5:H11" si="0">F5-G5</f>
        <v>3960248</v>
      </c>
      <c r="I5" s="216"/>
      <c r="J5" s="217"/>
      <c r="K5" s="243"/>
    </row>
    <row r="6" spans="1:11" ht="24.95" customHeight="1">
      <c r="A6" s="2321" t="s">
        <v>131</v>
      </c>
      <c r="B6" s="2322"/>
      <c r="C6" s="2323"/>
      <c r="D6" s="2323"/>
      <c r="E6" s="186"/>
      <c r="F6" s="2058">
        <f>F8+F24</f>
        <v>47061935</v>
      </c>
      <c r="G6" s="2059">
        <v>45601358</v>
      </c>
      <c r="H6" s="2054">
        <f t="shared" si="0"/>
        <v>1460577</v>
      </c>
      <c r="I6" s="218"/>
      <c r="J6" s="219"/>
      <c r="K6" s="29"/>
    </row>
    <row r="7" spans="1:11" ht="24.95" customHeight="1">
      <c r="A7" s="187"/>
      <c r="B7" s="2305" t="s">
        <v>224</v>
      </c>
      <c r="C7" s="2306"/>
      <c r="D7" s="2306"/>
      <c r="E7" s="2307"/>
      <c r="F7" s="2060">
        <f>F8+F24</f>
        <v>47061935</v>
      </c>
      <c r="G7" s="2061">
        <v>45601358</v>
      </c>
      <c r="H7" s="1520">
        <f t="shared" si="0"/>
        <v>1460577</v>
      </c>
      <c r="I7" s="220"/>
      <c r="J7" s="221"/>
      <c r="K7" s="252"/>
    </row>
    <row r="8" spans="1:11" ht="24.95" customHeight="1">
      <c r="A8" s="188"/>
      <c r="B8" s="189"/>
      <c r="C8" s="2305" t="s">
        <v>225</v>
      </c>
      <c r="D8" s="2306"/>
      <c r="E8" s="2307"/>
      <c r="F8" s="2062">
        <f>F9</f>
        <v>47061935</v>
      </c>
      <c r="G8" s="2063">
        <v>45601358</v>
      </c>
      <c r="H8" s="2055">
        <f t="shared" si="0"/>
        <v>1460577</v>
      </c>
      <c r="I8" s="220"/>
      <c r="J8" s="221"/>
      <c r="K8" s="123"/>
    </row>
    <row r="9" spans="1:11" ht="24.95" customHeight="1">
      <c r="A9" s="188"/>
      <c r="B9" s="190"/>
      <c r="C9" s="191"/>
      <c r="D9" s="2305" t="s">
        <v>226</v>
      </c>
      <c r="E9" s="2324"/>
      <c r="F9" s="2062">
        <f>F10+F22</f>
        <v>47061935</v>
      </c>
      <c r="G9" s="2063">
        <v>45601358</v>
      </c>
      <c r="H9" s="2055">
        <f t="shared" si="0"/>
        <v>1460577</v>
      </c>
      <c r="I9" s="222"/>
      <c r="J9" s="223"/>
      <c r="K9" s="29"/>
    </row>
    <row r="10" spans="1:11" ht="24.95" customHeight="1">
      <c r="A10" s="188"/>
      <c r="B10" s="190"/>
      <c r="C10" s="191"/>
      <c r="D10" s="2297"/>
      <c r="E10" s="189" t="s">
        <v>227</v>
      </c>
      <c r="F10" s="2060">
        <f>SUM(F11:F21)</f>
        <v>29519901</v>
      </c>
      <c r="G10" s="2064">
        <v>29447308</v>
      </c>
      <c r="H10" s="1533">
        <f t="shared" si="0"/>
        <v>72593</v>
      </c>
      <c r="I10" s="245"/>
      <c r="J10" s="224"/>
      <c r="K10" s="253"/>
    </row>
    <row r="11" spans="1:11" ht="24.95" customHeight="1">
      <c r="A11" s="188"/>
      <c r="B11" s="190"/>
      <c r="C11" s="191"/>
      <c r="D11" s="2298"/>
      <c r="E11" s="190"/>
      <c r="F11" s="2065">
        <f>K11</f>
        <v>1474331</v>
      </c>
      <c r="G11" s="2066">
        <v>1577711</v>
      </c>
      <c r="H11" s="1826">
        <f t="shared" si="0"/>
        <v>-103380</v>
      </c>
      <c r="I11" s="225" t="s">
        <v>239</v>
      </c>
      <c r="J11" s="226" t="s">
        <v>240</v>
      </c>
      <c r="K11" s="666">
        <f>'나. 지출예산 총괄표'!H9</f>
        <v>1474331</v>
      </c>
    </row>
    <row r="12" spans="1:11" ht="24.95" customHeight="1">
      <c r="A12" s="188"/>
      <c r="B12" s="190"/>
      <c r="C12" s="191"/>
      <c r="D12" s="2298"/>
      <c r="E12" s="2299"/>
      <c r="F12" s="2065">
        <f t="shared" ref="F12:F47" si="1">K12</f>
        <v>165485</v>
      </c>
      <c r="G12" s="2066">
        <v>168033</v>
      </c>
      <c r="H12" s="1826">
        <f t="shared" ref="H12:H47" si="2">F12-G12</f>
        <v>-2548</v>
      </c>
      <c r="I12" s="227" t="s">
        <v>241</v>
      </c>
      <c r="J12" s="226" t="s">
        <v>242</v>
      </c>
      <c r="K12" s="666">
        <f>'나. 지출예산 총괄표'!H31</f>
        <v>165485</v>
      </c>
    </row>
    <row r="13" spans="1:11" ht="24.95" customHeight="1">
      <c r="A13" s="188"/>
      <c r="B13" s="190"/>
      <c r="C13" s="191"/>
      <c r="D13" s="2298"/>
      <c r="E13" s="2299"/>
      <c r="F13" s="2065">
        <f t="shared" si="1"/>
        <v>317719</v>
      </c>
      <c r="G13" s="2066">
        <v>297674</v>
      </c>
      <c r="H13" s="1826">
        <f t="shared" si="2"/>
        <v>20045</v>
      </c>
      <c r="I13" s="227" t="s">
        <v>243</v>
      </c>
      <c r="J13" s="226" t="s">
        <v>242</v>
      </c>
      <c r="K13" s="666">
        <f>'나. 지출예산 총괄표'!H47</f>
        <v>317719</v>
      </c>
    </row>
    <row r="14" spans="1:11" ht="24.95" customHeight="1">
      <c r="A14" s="188"/>
      <c r="B14" s="190"/>
      <c r="C14" s="191"/>
      <c r="D14" s="2298"/>
      <c r="E14" s="2299"/>
      <c r="F14" s="2065">
        <f t="shared" si="1"/>
        <v>195000</v>
      </c>
      <c r="G14" s="2066">
        <v>185000</v>
      </c>
      <c r="H14" s="1826">
        <f t="shared" si="2"/>
        <v>10000</v>
      </c>
      <c r="I14" s="227" t="s">
        <v>244</v>
      </c>
      <c r="J14" s="226" t="s">
        <v>242</v>
      </c>
      <c r="K14" s="666">
        <f>'나. 지출예산 총괄표'!H66</f>
        <v>195000</v>
      </c>
    </row>
    <row r="15" spans="1:11" ht="24.95" customHeight="1">
      <c r="A15" s="188"/>
      <c r="B15" s="190"/>
      <c r="C15" s="191"/>
      <c r="D15" s="2298"/>
      <c r="E15" s="2299"/>
      <c r="F15" s="2065">
        <f t="shared" si="1"/>
        <v>22547435</v>
      </c>
      <c r="G15" s="2066">
        <v>21539757</v>
      </c>
      <c r="H15" s="1826">
        <f t="shared" si="2"/>
        <v>1007678</v>
      </c>
      <c r="I15" s="228" t="s">
        <v>245</v>
      </c>
      <c r="J15" s="226" t="s">
        <v>242</v>
      </c>
      <c r="K15" s="666">
        <f>'나. 지출예산 총괄표'!H164</f>
        <v>22547435</v>
      </c>
    </row>
    <row r="16" spans="1:11" ht="24.95" customHeight="1">
      <c r="A16" s="188"/>
      <c r="B16" s="190"/>
      <c r="C16" s="191"/>
      <c r="D16" s="2298"/>
      <c r="E16" s="2299"/>
      <c r="F16" s="2065">
        <f t="shared" si="1"/>
        <v>105943</v>
      </c>
      <c r="G16" s="2066">
        <v>100803</v>
      </c>
      <c r="H16" s="1826">
        <f t="shared" si="2"/>
        <v>5140</v>
      </c>
      <c r="I16" s="227" t="s">
        <v>246</v>
      </c>
      <c r="J16" s="226" t="s">
        <v>242</v>
      </c>
      <c r="K16" s="666">
        <f>'나. 지출예산 총괄표'!H194</f>
        <v>105943</v>
      </c>
    </row>
    <row r="17" spans="1:11" ht="24.95" customHeight="1">
      <c r="A17" s="188"/>
      <c r="B17" s="190"/>
      <c r="C17" s="191"/>
      <c r="D17" s="2298"/>
      <c r="E17" s="2299"/>
      <c r="F17" s="2065">
        <f t="shared" si="1"/>
        <v>1145394</v>
      </c>
      <c r="G17" s="2066">
        <v>1004886</v>
      </c>
      <c r="H17" s="1826">
        <f t="shared" si="2"/>
        <v>140508</v>
      </c>
      <c r="I17" s="227" t="s">
        <v>247</v>
      </c>
      <c r="J17" s="226" t="s">
        <v>242</v>
      </c>
      <c r="K17" s="666">
        <f>'나. 지출예산 총괄표'!H90</f>
        <v>1145394</v>
      </c>
    </row>
    <row r="18" spans="1:11" ht="24.95" customHeight="1">
      <c r="A18" s="188"/>
      <c r="B18" s="190"/>
      <c r="C18" s="191"/>
      <c r="D18" s="2298"/>
      <c r="E18" s="2299"/>
      <c r="F18" s="2065">
        <f t="shared" si="1"/>
        <v>778370</v>
      </c>
      <c r="G18" s="2066">
        <v>747817</v>
      </c>
      <c r="H18" s="1826">
        <f t="shared" si="2"/>
        <v>30553</v>
      </c>
      <c r="I18" s="227" t="s">
        <v>248</v>
      </c>
      <c r="J18" s="226" t="s">
        <v>242</v>
      </c>
      <c r="K18" s="666">
        <f>'나. 지출예산 총괄표'!H115</f>
        <v>778370</v>
      </c>
    </row>
    <row r="19" spans="1:11" ht="24.95" customHeight="1">
      <c r="A19" s="188"/>
      <c r="B19" s="190"/>
      <c r="C19" s="191"/>
      <c r="D19" s="2046"/>
      <c r="E19" s="2047"/>
      <c r="F19" s="2065">
        <f t="shared" si="1"/>
        <v>231930</v>
      </c>
      <c r="G19" s="2066">
        <v>225039</v>
      </c>
      <c r="H19" s="1826">
        <f t="shared" si="2"/>
        <v>6891</v>
      </c>
      <c r="I19" s="227" t="s">
        <v>249</v>
      </c>
      <c r="J19" s="226" t="s">
        <v>242</v>
      </c>
      <c r="K19" s="666">
        <f>'나. 지출예산 총괄표'!H132</f>
        <v>231930</v>
      </c>
    </row>
    <row r="20" spans="1:11" ht="24.95" customHeight="1">
      <c r="A20" s="188"/>
      <c r="B20" s="190"/>
      <c r="C20" s="191"/>
      <c r="D20" s="2046"/>
      <c r="E20" s="2047"/>
      <c r="F20" s="2065">
        <f t="shared" si="1"/>
        <v>750000</v>
      </c>
      <c r="G20" s="2066"/>
      <c r="H20" s="1826">
        <f t="shared" si="2"/>
        <v>750000</v>
      </c>
      <c r="I20" s="227" t="s">
        <v>250</v>
      </c>
      <c r="J20" s="226" t="s">
        <v>242</v>
      </c>
      <c r="K20" s="666">
        <f>'나. 지출예산 총괄표'!H146</f>
        <v>750000</v>
      </c>
    </row>
    <row r="21" spans="1:11" ht="24.95" customHeight="1">
      <c r="A21" s="188"/>
      <c r="B21" s="190"/>
      <c r="C21" s="191"/>
      <c r="D21" s="2046"/>
      <c r="E21" s="192"/>
      <c r="F21" s="2067">
        <f t="shared" si="1"/>
        <v>1808294</v>
      </c>
      <c r="G21" s="2066">
        <v>3600588</v>
      </c>
      <c r="H21" s="595">
        <f t="shared" si="2"/>
        <v>-1792294</v>
      </c>
      <c r="I21" s="227" t="s">
        <v>251</v>
      </c>
      <c r="J21" s="226" t="s">
        <v>242</v>
      </c>
      <c r="K21" s="666">
        <f>'나. 지출예산 총괄표'!H209</f>
        <v>1808294</v>
      </c>
    </row>
    <row r="22" spans="1:11" ht="24.95" customHeight="1">
      <c r="A22" s="193"/>
      <c r="B22" s="194"/>
      <c r="C22" s="195"/>
      <c r="D22" s="194"/>
      <c r="E22" s="189" t="s">
        <v>228</v>
      </c>
      <c r="F22" s="2060">
        <f t="shared" si="1"/>
        <v>17542034</v>
      </c>
      <c r="G22" s="2064">
        <v>16154050</v>
      </c>
      <c r="H22" s="1831">
        <f t="shared" si="2"/>
        <v>1387984</v>
      </c>
      <c r="I22" s="245" t="s">
        <v>252</v>
      </c>
      <c r="J22" s="224"/>
      <c r="K22" s="1534">
        <f>K23</f>
        <v>17542034</v>
      </c>
    </row>
    <row r="23" spans="1:11" ht="24.95" customHeight="1">
      <c r="A23" s="193"/>
      <c r="B23" s="194"/>
      <c r="C23" s="195"/>
      <c r="D23" s="195"/>
      <c r="E23" s="190"/>
      <c r="F23" s="2065"/>
      <c r="G23" s="2066"/>
      <c r="H23" s="1826"/>
      <c r="I23" s="246" t="s">
        <v>253</v>
      </c>
      <c r="J23" s="229" t="s">
        <v>242</v>
      </c>
      <c r="K23" s="666">
        <f>'나. 지출예산 총괄표'!H234-'나. 지출예산 총괄표'!H268</f>
        <v>17542034</v>
      </c>
    </row>
    <row r="24" spans="1:11" ht="24.95" customHeight="1">
      <c r="A24" s="188"/>
      <c r="B24" s="190"/>
      <c r="C24" s="2305" t="s">
        <v>229</v>
      </c>
      <c r="D24" s="2306"/>
      <c r="E24" s="2307"/>
      <c r="F24" s="2068">
        <f t="shared" si="1"/>
        <v>0</v>
      </c>
      <c r="G24" s="2069">
        <v>0</v>
      </c>
      <c r="H24" s="594">
        <f t="shared" si="2"/>
        <v>0</v>
      </c>
      <c r="I24" s="247"/>
      <c r="J24" s="223"/>
      <c r="K24" s="668"/>
    </row>
    <row r="25" spans="1:11" ht="24.95" customHeight="1">
      <c r="A25" s="188"/>
      <c r="B25" s="190"/>
      <c r="C25" s="196"/>
      <c r="D25" s="2308" t="s">
        <v>230</v>
      </c>
      <c r="E25" s="2309"/>
      <c r="F25" s="2068">
        <f t="shared" si="1"/>
        <v>0</v>
      </c>
      <c r="G25" s="2070">
        <v>0</v>
      </c>
      <c r="H25" s="594">
        <f t="shared" si="2"/>
        <v>0</v>
      </c>
      <c r="I25" s="248"/>
      <c r="J25" s="221"/>
      <c r="K25" s="668"/>
    </row>
    <row r="26" spans="1:11" ht="24.95" customHeight="1">
      <c r="A26" s="188"/>
      <c r="B26" s="190"/>
      <c r="C26" s="196"/>
      <c r="D26" s="194"/>
      <c r="E26" s="189" t="s">
        <v>231</v>
      </c>
      <c r="F26" s="2065">
        <f t="shared" si="1"/>
        <v>0</v>
      </c>
      <c r="G26" s="2071">
        <v>0</v>
      </c>
      <c r="H26" s="594">
        <f t="shared" si="2"/>
        <v>0</v>
      </c>
      <c r="I26" s="249"/>
      <c r="J26" s="230"/>
      <c r="K26" s="666"/>
    </row>
    <row r="27" spans="1:11" ht="24.95" customHeight="1" thickBot="1">
      <c r="A27" s="197"/>
      <c r="B27" s="198"/>
      <c r="C27" s="199"/>
      <c r="D27" s="200"/>
      <c r="E27" s="198"/>
      <c r="F27" s="2072">
        <f t="shared" si="1"/>
        <v>0</v>
      </c>
      <c r="G27" s="2073"/>
      <c r="H27" s="1826">
        <f t="shared" si="2"/>
        <v>0</v>
      </c>
      <c r="I27" s="231" t="s">
        <v>254</v>
      </c>
      <c r="J27" s="232" t="s">
        <v>242</v>
      </c>
      <c r="K27" s="666"/>
    </row>
    <row r="28" spans="1:11" ht="24.95" customHeight="1">
      <c r="A28" s="2310" t="s">
        <v>132</v>
      </c>
      <c r="B28" s="2311"/>
      <c r="C28" s="2312"/>
      <c r="D28" s="2312"/>
      <c r="E28" s="201"/>
      <c r="F28" s="2075">
        <f>F29</f>
        <v>4109661</v>
      </c>
      <c r="G28" s="2059">
        <v>1609990</v>
      </c>
      <c r="H28" s="682">
        <f t="shared" si="2"/>
        <v>2499671</v>
      </c>
      <c r="I28" s="250"/>
      <c r="J28" s="233"/>
      <c r="K28" s="1851"/>
    </row>
    <row r="29" spans="1:11" ht="24.95" customHeight="1">
      <c r="A29" s="202"/>
      <c r="B29" s="2300" t="s">
        <v>232</v>
      </c>
      <c r="C29" s="2301"/>
      <c r="D29" s="2301"/>
      <c r="E29" s="2302"/>
      <c r="F29" s="2060">
        <f>F30+F45</f>
        <v>4109661</v>
      </c>
      <c r="G29" s="2074">
        <v>1609990</v>
      </c>
      <c r="H29" s="1185">
        <f t="shared" si="2"/>
        <v>2499671</v>
      </c>
      <c r="I29" s="228"/>
      <c r="J29" s="234"/>
      <c r="K29" s="668"/>
    </row>
    <row r="30" spans="1:11" ht="24.95" customHeight="1">
      <c r="A30" s="203"/>
      <c r="B30" s="204"/>
      <c r="C30" s="2300" t="s">
        <v>233</v>
      </c>
      <c r="D30" s="2313"/>
      <c r="E30" s="2314"/>
      <c r="F30" s="2076">
        <f>F31</f>
        <v>3609661</v>
      </c>
      <c r="G30" s="2064">
        <v>1109990</v>
      </c>
      <c r="H30" s="1185">
        <f t="shared" si="2"/>
        <v>2499671</v>
      </c>
      <c r="I30" s="235"/>
      <c r="J30" s="236"/>
      <c r="K30" s="668"/>
    </row>
    <row r="31" spans="1:11" ht="24.95" customHeight="1">
      <c r="A31" s="203"/>
      <c r="B31" s="205"/>
      <c r="C31" s="204"/>
      <c r="D31" s="2300" t="s">
        <v>234</v>
      </c>
      <c r="E31" s="2302"/>
      <c r="F31" s="2062">
        <f>F32</f>
        <v>3609661</v>
      </c>
      <c r="G31" s="2063">
        <v>1109990</v>
      </c>
      <c r="H31" s="601">
        <f t="shared" si="2"/>
        <v>2499671</v>
      </c>
      <c r="I31" s="240"/>
      <c r="J31" s="237"/>
      <c r="K31" s="668"/>
    </row>
    <row r="32" spans="1:11" ht="24.95" customHeight="1">
      <c r="A32" s="203"/>
      <c r="B32" s="205"/>
      <c r="C32" s="205"/>
      <c r="D32" s="206"/>
      <c r="E32" s="207" t="s">
        <v>235</v>
      </c>
      <c r="F32" s="2060">
        <f>SUM(F33:F44)</f>
        <v>3609661</v>
      </c>
      <c r="G32" s="2074">
        <v>1109990</v>
      </c>
      <c r="H32" s="1831">
        <f t="shared" si="2"/>
        <v>2499671</v>
      </c>
      <c r="I32" s="251"/>
      <c r="J32" s="238"/>
      <c r="K32" s="666"/>
    </row>
    <row r="33" spans="1:11" ht="24.95" customHeight="1">
      <c r="A33" s="203"/>
      <c r="B33" s="205"/>
      <c r="C33" s="208"/>
      <c r="D33" s="206"/>
      <c r="E33" s="207"/>
      <c r="F33" s="2065">
        <f t="shared" si="1"/>
        <v>1352</v>
      </c>
      <c r="G33" s="2066">
        <v>8000</v>
      </c>
      <c r="H33" s="1826">
        <f t="shared" si="2"/>
        <v>-6648</v>
      </c>
      <c r="I33" s="228" t="s">
        <v>255</v>
      </c>
      <c r="J33" s="239" t="s">
        <v>242</v>
      </c>
      <c r="K33" s="666">
        <f>'나. 지출예산 총괄표'!H346</f>
        <v>1352</v>
      </c>
    </row>
    <row r="34" spans="1:11" ht="24.95" customHeight="1">
      <c r="A34" s="203"/>
      <c r="B34" s="205"/>
      <c r="C34" s="208"/>
      <c r="D34" s="209"/>
      <c r="E34" s="210"/>
      <c r="F34" s="2065">
        <f t="shared" si="1"/>
        <v>30000</v>
      </c>
      <c r="G34" s="2066">
        <v>150000</v>
      </c>
      <c r="H34" s="1826">
        <f t="shared" si="2"/>
        <v>-120000</v>
      </c>
      <c r="I34" s="228" t="s">
        <v>256</v>
      </c>
      <c r="J34" s="239" t="s">
        <v>242</v>
      </c>
      <c r="K34" s="666">
        <f>'나. 지출예산 총괄표'!H294</f>
        <v>30000</v>
      </c>
    </row>
    <row r="35" spans="1:11" ht="24.95" customHeight="1">
      <c r="A35" s="203"/>
      <c r="B35" s="205"/>
      <c r="C35" s="208"/>
      <c r="D35" s="209"/>
      <c r="E35" s="210"/>
      <c r="F35" s="2065">
        <f t="shared" si="1"/>
        <v>0</v>
      </c>
      <c r="G35" s="2066">
        <v>0</v>
      </c>
      <c r="H35" s="1826">
        <f t="shared" si="2"/>
        <v>0</v>
      </c>
      <c r="I35" s="228" t="s">
        <v>257</v>
      </c>
      <c r="J35" s="239" t="s">
        <v>242</v>
      </c>
      <c r="K35" s="666">
        <v>0</v>
      </c>
    </row>
    <row r="36" spans="1:11" ht="24.95" customHeight="1">
      <c r="A36" s="203"/>
      <c r="B36" s="205"/>
      <c r="C36" s="208"/>
      <c r="D36" s="209"/>
      <c r="E36" s="210"/>
      <c r="F36" s="2065">
        <f t="shared" si="1"/>
        <v>2600</v>
      </c>
      <c r="G36" s="2066">
        <v>1750</v>
      </c>
      <c r="H36" s="1826">
        <f t="shared" si="2"/>
        <v>850</v>
      </c>
      <c r="I36" s="228" t="s">
        <v>258</v>
      </c>
      <c r="J36" s="239" t="s">
        <v>242</v>
      </c>
      <c r="K36" s="666">
        <f>'나. 지출예산 총괄표'!H298</f>
        <v>2600</v>
      </c>
    </row>
    <row r="37" spans="1:11" ht="24.95" customHeight="1">
      <c r="A37" s="203"/>
      <c r="B37" s="205"/>
      <c r="C37" s="208"/>
      <c r="D37" s="209"/>
      <c r="E37" s="210"/>
      <c r="F37" s="2065">
        <f t="shared" si="1"/>
        <v>5000</v>
      </c>
      <c r="G37" s="2066">
        <v>15000</v>
      </c>
      <c r="H37" s="1826">
        <f t="shared" si="2"/>
        <v>-10000</v>
      </c>
      <c r="I37" s="227" t="s">
        <v>259</v>
      </c>
      <c r="J37" s="239" t="s">
        <v>242</v>
      </c>
      <c r="K37" s="666">
        <f>'나. 지출예산 총괄표'!H302</f>
        <v>5000</v>
      </c>
    </row>
    <row r="38" spans="1:11" ht="24.95" customHeight="1">
      <c r="A38" s="203"/>
      <c r="B38" s="205"/>
      <c r="C38" s="208"/>
      <c r="D38" s="209"/>
      <c r="E38" s="210"/>
      <c r="F38" s="2065">
        <f t="shared" si="1"/>
        <v>628009</v>
      </c>
      <c r="G38" s="2066">
        <v>707000</v>
      </c>
      <c r="H38" s="1826">
        <f t="shared" si="2"/>
        <v>-78991</v>
      </c>
      <c r="I38" s="244" t="s">
        <v>260</v>
      </c>
      <c r="J38" s="226" t="s">
        <v>240</v>
      </c>
      <c r="K38" s="666">
        <f>'나. 지출예산 총괄표'!H324</f>
        <v>628009</v>
      </c>
    </row>
    <row r="39" spans="1:11" ht="24.95" customHeight="1">
      <c r="A39" s="203"/>
      <c r="B39" s="205"/>
      <c r="C39" s="208"/>
      <c r="D39" s="209"/>
      <c r="E39" s="210"/>
      <c r="F39" s="2065">
        <f t="shared" si="1"/>
        <v>0</v>
      </c>
      <c r="G39" s="2066">
        <v>0</v>
      </c>
      <c r="H39" s="1826">
        <f t="shared" si="2"/>
        <v>0</v>
      </c>
      <c r="I39" s="228" t="s">
        <v>261</v>
      </c>
      <c r="J39" s="226" t="s">
        <v>240</v>
      </c>
      <c r="K39" s="666">
        <f>'나. 지출예산 총괄표'!H331</f>
        <v>0</v>
      </c>
    </row>
    <row r="40" spans="1:11" ht="24.95" customHeight="1">
      <c r="A40" s="203"/>
      <c r="B40" s="205"/>
      <c r="C40" s="208"/>
      <c r="D40" s="209"/>
      <c r="E40" s="210"/>
      <c r="F40" s="2065">
        <f t="shared" si="1"/>
        <v>75800</v>
      </c>
      <c r="G40" s="2066">
        <v>19170</v>
      </c>
      <c r="H40" s="1826">
        <f t="shared" si="2"/>
        <v>56630</v>
      </c>
      <c r="I40" s="228" t="s">
        <v>262</v>
      </c>
      <c r="J40" s="239" t="s">
        <v>242</v>
      </c>
      <c r="K40" s="666">
        <f>'나. 지출예산 총괄표'!H307</f>
        <v>75800</v>
      </c>
    </row>
    <row r="41" spans="1:11" ht="24.95" customHeight="1">
      <c r="A41" s="203"/>
      <c r="B41" s="205"/>
      <c r="C41" s="208"/>
      <c r="D41" s="209"/>
      <c r="E41" s="210"/>
      <c r="F41" s="2065">
        <f t="shared" si="1"/>
        <v>38900</v>
      </c>
      <c r="G41" s="2066">
        <v>1470</v>
      </c>
      <c r="H41" s="1826">
        <f t="shared" si="2"/>
        <v>37430</v>
      </c>
      <c r="I41" s="228" t="s">
        <v>263</v>
      </c>
      <c r="J41" s="239" t="s">
        <v>242</v>
      </c>
      <c r="K41" s="666">
        <f>'나. 지출예산 총괄표'!H311</f>
        <v>38900</v>
      </c>
    </row>
    <row r="42" spans="1:11" ht="24.95" customHeight="1">
      <c r="A42" s="203"/>
      <c r="B42" s="205"/>
      <c r="C42" s="208"/>
      <c r="D42" s="209"/>
      <c r="E42" s="210"/>
      <c r="F42" s="2065">
        <f t="shared" si="1"/>
        <v>27200</v>
      </c>
      <c r="G42" s="2066">
        <v>0</v>
      </c>
      <c r="H42" s="1826">
        <f t="shared" si="2"/>
        <v>27200</v>
      </c>
      <c r="I42" s="228" t="s">
        <v>264</v>
      </c>
      <c r="J42" s="239" t="s">
        <v>242</v>
      </c>
      <c r="K42" s="666">
        <f>'나. 지출예산 총괄표'!H315</f>
        <v>27200</v>
      </c>
    </row>
    <row r="43" spans="1:11" ht="24.95" customHeight="1">
      <c r="A43" s="203"/>
      <c r="B43" s="205"/>
      <c r="C43" s="208"/>
      <c r="D43" s="209"/>
      <c r="E43" s="210"/>
      <c r="F43" s="2065">
        <f>K43</f>
        <v>0</v>
      </c>
      <c r="G43" s="2066">
        <v>0</v>
      </c>
      <c r="H43" s="1826">
        <f t="shared" si="2"/>
        <v>0</v>
      </c>
      <c r="I43" s="228" t="s">
        <v>2262</v>
      </c>
      <c r="J43" s="239" t="s">
        <v>242</v>
      </c>
      <c r="K43" s="666">
        <f>'나. 지출예산 총괄표'!H319</f>
        <v>0</v>
      </c>
    </row>
    <row r="44" spans="1:11" ht="24.95" customHeight="1">
      <c r="A44" s="203"/>
      <c r="B44" s="205"/>
      <c r="C44" s="208"/>
      <c r="D44" s="209"/>
      <c r="E44" s="210"/>
      <c r="F44" s="2065">
        <f t="shared" si="1"/>
        <v>2800800</v>
      </c>
      <c r="G44" s="2066">
        <v>207600</v>
      </c>
      <c r="H44" s="1826">
        <f t="shared" si="2"/>
        <v>2593200</v>
      </c>
      <c r="I44" s="244" t="s">
        <v>265</v>
      </c>
      <c r="J44" s="239" t="s">
        <v>242</v>
      </c>
      <c r="K44" s="1078">
        <f>'나. 지출예산 총괄표'!H335</f>
        <v>2800800</v>
      </c>
    </row>
    <row r="45" spans="1:11" ht="24.95" customHeight="1">
      <c r="A45" s="203"/>
      <c r="B45" s="205"/>
      <c r="C45" s="2300" t="s">
        <v>236</v>
      </c>
      <c r="D45" s="2301"/>
      <c r="E45" s="2302"/>
      <c r="F45" s="2076">
        <f>F46</f>
        <v>500000</v>
      </c>
      <c r="G45" s="2063">
        <v>500000</v>
      </c>
      <c r="H45" s="1185">
        <f t="shared" si="2"/>
        <v>0</v>
      </c>
      <c r="I45" s="240"/>
      <c r="J45" s="237"/>
      <c r="K45" s="1078"/>
    </row>
    <row r="46" spans="1:11" ht="24.95" customHeight="1">
      <c r="A46" s="203"/>
      <c r="B46" s="205"/>
      <c r="C46" s="204"/>
      <c r="D46" s="2303" t="s">
        <v>237</v>
      </c>
      <c r="E46" s="2304"/>
      <c r="F46" s="2076">
        <f>F47</f>
        <v>500000</v>
      </c>
      <c r="G46" s="2063">
        <v>500000</v>
      </c>
      <c r="H46" s="601">
        <f t="shared" si="2"/>
        <v>0</v>
      </c>
      <c r="I46" s="240"/>
      <c r="J46" s="237"/>
      <c r="K46" s="1078"/>
    </row>
    <row r="47" spans="1:11" ht="24.95" customHeight="1">
      <c r="A47" s="203"/>
      <c r="B47" s="205"/>
      <c r="C47" s="205"/>
      <c r="D47" s="206"/>
      <c r="E47" s="211" t="s">
        <v>238</v>
      </c>
      <c r="F47" s="2076">
        <f t="shared" si="1"/>
        <v>500000</v>
      </c>
      <c r="G47" s="2074">
        <v>500000</v>
      </c>
      <c r="H47" s="1831">
        <f t="shared" si="2"/>
        <v>0</v>
      </c>
      <c r="I47" s="251"/>
      <c r="J47" s="238"/>
      <c r="K47" s="666">
        <f>K48</f>
        <v>500000</v>
      </c>
    </row>
    <row r="48" spans="1:11" ht="24.95" customHeight="1" thickBot="1">
      <c r="A48" s="212"/>
      <c r="B48" s="213"/>
      <c r="C48" s="213"/>
      <c r="D48" s="214"/>
      <c r="E48" s="215"/>
      <c r="F48" s="2072"/>
      <c r="G48" s="2073"/>
      <c r="H48" s="599"/>
      <c r="I48" s="241" t="s">
        <v>266</v>
      </c>
      <c r="J48" s="242" t="s">
        <v>242</v>
      </c>
      <c r="K48" s="1077">
        <f>'나. 지출예산 총괄표'!H350</f>
        <v>500000</v>
      </c>
    </row>
  </sheetData>
  <mergeCells count="20">
    <mergeCell ref="I3:K4"/>
    <mergeCell ref="A6:D6"/>
    <mergeCell ref="B7:E7"/>
    <mergeCell ref="C8:E8"/>
    <mergeCell ref="D9:E9"/>
    <mergeCell ref="A5:E5"/>
    <mergeCell ref="A3:E3"/>
    <mergeCell ref="F3:F4"/>
    <mergeCell ref="G3:G4"/>
    <mergeCell ref="H3:H4"/>
    <mergeCell ref="D10:D18"/>
    <mergeCell ref="E12:E18"/>
    <mergeCell ref="C45:E45"/>
    <mergeCell ref="D46:E46"/>
    <mergeCell ref="C24:E24"/>
    <mergeCell ref="D25:E25"/>
    <mergeCell ref="A28:D28"/>
    <mergeCell ref="B29:E29"/>
    <mergeCell ref="C30:E30"/>
    <mergeCell ref="D31:E31"/>
  </mergeCells>
  <phoneticPr fontId="3" type="noConversion"/>
  <pageMargins left="0.94488188976377951" right="0.78740157480314965" top="0.6692913385826772" bottom="0.98425196850393704" header="0.51181102362204722" footer="0.51181102362204722"/>
  <pageSetup paperSize="9" scale="7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646A8-70F0-4D06-8970-43032A63CC49}">
  <dimension ref="A1:J354"/>
  <sheetViews>
    <sheetView topLeftCell="A217" zoomScaleNormal="100" workbookViewId="0">
      <selection activeCell="G284" sqref="G284"/>
    </sheetView>
  </sheetViews>
  <sheetFormatPr defaultRowHeight="16.5"/>
  <cols>
    <col min="2" max="5" width="8" customWidth="1"/>
    <col min="6" max="6" width="6.75" customWidth="1"/>
    <col min="7" max="7" width="22.375" customWidth="1"/>
    <col min="8" max="10" width="14.375" customWidth="1"/>
  </cols>
  <sheetData>
    <row r="1" spans="1:10" ht="18" customHeight="1">
      <c r="A1" s="179" t="s">
        <v>267</v>
      </c>
    </row>
    <row r="2" spans="1:10" ht="18" customHeight="1" thickBot="1">
      <c r="A2" s="180"/>
      <c r="B2" s="180"/>
      <c r="C2" s="180"/>
      <c r="D2" s="180"/>
      <c r="E2" s="180"/>
      <c r="F2" s="180"/>
      <c r="G2" s="180"/>
      <c r="H2" s="180"/>
      <c r="I2" s="180"/>
      <c r="J2" s="183" t="s">
        <v>980</v>
      </c>
    </row>
    <row r="3" spans="1:10" ht="18" customHeight="1">
      <c r="A3" s="2337" t="s">
        <v>214</v>
      </c>
      <c r="B3" s="2338"/>
      <c r="C3" s="2338"/>
      <c r="D3" s="2338"/>
      <c r="E3" s="2338"/>
      <c r="F3" s="2338"/>
      <c r="G3" s="2339"/>
      <c r="H3" s="2331" t="s">
        <v>215</v>
      </c>
      <c r="I3" s="2331" t="s">
        <v>216</v>
      </c>
      <c r="J3" s="2341" t="s">
        <v>217</v>
      </c>
    </row>
    <row r="4" spans="1:10" ht="18" customHeight="1" thickBot="1">
      <c r="A4" s="184" t="s">
        <v>130</v>
      </c>
      <c r="B4" s="185" t="s">
        <v>268</v>
      </c>
      <c r="C4" s="185" t="s">
        <v>269</v>
      </c>
      <c r="D4" s="185" t="s">
        <v>270</v>
      </c>
      <c r="E4" s="185" t="s">
        <v>271</v>
      </c>
      <c r="F4" s="185" t="s">
        <v>222</v>
      </c>
      <c r="G4" s="185" t="s">
        <v>272</v>
      </c>
      <c r="H4" s="2340"/>
      <c r="I4" s="2340"/>
      <c r="J4" s="2342"/>
    </row>
    <row r="5" spans="1:10" ht="18" customHeight="1" thickBot="1">
      <c r="A5" s="2325" t="s">
        <v>273</v>
      </c>
      <c r="B5" s="2326"/>
      <c r="C5" s="2326"/>
      <c r="D5" s="2326"/>
      <c r="E5" s="2326"/>
      <c r="F5" s="2326"/>
      <c r="G5" s="2327"/>
      <c r="H5" s="2019">
        <f>H6+H291</f>
        <v>51171596</v>
      </c>
      <c r="I5" s="2033">
        <v>47211348</v>
      </c>
      <c r="J5" s="256">
        <f>H5-I5</f>
        <v>3960248</v>
      </c>
    </row>
    <row r="6" spans="1:10" ht="18" customHeight="1">
      <c r="A6" s="257" t="s">
        <v>131</v>
      </c>
      <c r="B6" s="258"/>
      <c r="C6" s="258"/>
      <c r="D6" s="258"/>
      <c r="E6" s="258"/>
      <c r="F6" s="258"/>
      <c r="G6" s="259"/>
      <c r="H6" s="2020">
        <f>H7</f>
        <v>47061935</v>
      </c>
      <c r="I6" s="2034">
        <v>45601358</v>
      </c>
      <c r="J6" s="260">
        <f>H6-I6</f>
        <v>1460577</v>
      </c>
    </row>
    <row r="7" spans="1:10" ht="18" customHeight="1">
      <c r="A7" s="261"/>
      <c r="B7" s="262" t="s">
        <v>274</v>
      </c>
      <c r="C7" s="263"/>
      <c r="D7" s="263"/>
      <c r="E7" s="263"/>
      <c r="F7" s="263"/>
      <c r="G7" s="264"/>
      <c r="H7" s="2021">
        <f>H8+H89+H163+H234</f>
        <v>47061935</v>
      </c>
      <c r="I7" s="2035">
        <v>45601358</v>
      </c>
      <c r="J7" s="265">
        <f>H7-I7</f>
        <v>1460577</v>
      </c>
    </row>
    <row r="8" spans="1:10" ht="18" customHeight="1">
      <c r="A8" s="266"/>
      <c r="B8" s="267"/>
      <c r="C8" s="268" t="s">
        <v>275</v>
      </c>
      <c r="D8" s="269"/>
      <c r="E8" s="269"/>
      <c r="F8" s="269"/>
      <c r="G8" s="270"/>
      <c r="H8" s="2022">
        <f>H9+H31+H47+H66</f>
        <v>2152535</v>
      </c>
      <c r="I8" s="2036">
        <v>2228418</v>
      </c>
      <c r="J8" s="271">
        <f t="shared" ref="J8:J71" si="0">H8-I8</f>
        <v>-75883</v>
      </c>
    </row>
    <row r="9" spans="1:10" ht="18" customHeight="1">
      <c r="A9" s="266"/>
      <c r="B9" s="272"/>
      <c r="C9" s="273"/>
      <c r="D9" s="262" t="s">
        <v>276</v>
      </c>
      <c r="E9" s="263"/>
      <c r="F9" s="263"/>
      <c r="G9" s="264"/>
      <c r="H9" s="2023">
        <f>H10+H28</f>
        <v>1474331</v>
      </c>
      <c r="I9" s="2037">
        <v>1577711</v>
      </c>
      <c r="J9" s="265">
        <f t="shared" si="0"/>
        <v>-103380</v>
      </c>
    </row>
    <row r="10" spans="1:10" ht="18" customHeight="1">
      <c r="A10" s="266"/>
      <c r="B10" s="272"/>
      <c r="C10" s="274"/>
      <c r="D10" s="275"/>
      <c r="E10" s="262" t="s">
        <v>277</v>
      </c>
      <c r="F10" s="263"/>
      <c r="G10" s="264"/>
      <c r="H10" s="2024">
        <f>H11+H13+H20+H24+H26</f>
        <v>1312331</v>
      </c>
      <c r="I10" s="2038">
        <v>1396852</v>
      </c>
      <c r="J10" s="265">
        <f t="shared" si="0"/>
        <v>-84521</v>
      </c>
    </row>
    <row r="11" spans="1:10" ht="18" customHeight="1">
      <c r="A11" s="266"/>
      <c r="B11" s="272"/>
      <c r="C11" s="274"/>
      <c r="D11" s="273"/>
      <c r="E11" s="275"/>
      <c r="F11" s="262" t="s">
        <v>278</v>
      </c>
      <c r="G11" s="264"/>
      <c r="H11" s="2024">
        <f>교통휴양시설부!H10</f>
        <v>329653</v>
      </c>
      <c r="I11" s="2038">
        <v>374709</v>
      </c>
      <c r="J11" s="265">
        <f t="shared" si="0"/>
        <v>-45056</v>
      </c>
    </row>
    <row r="12" spans="1:10" ht="18" customHeight="1">
      <c r="A12" s="193"/>
      <c r="B12" s="194"/>
      <c r="C12" s="276"/>
      <c r="D12" s="277"/>
      <c r="E12" s="276"/>
      <c r="F12" s="278"/>
      <c r="G12" s="279" t="s">
        <v>279</v>
      </c>
      <c r="H12" s="2025">
        <f>교통휴양시설부!H11</f>
        <v>329653</v>
      </c>
      <c r="I12" s="2039">
        <v>374709</v>
      </c>
      <c r="J12" s="265">
        <f t="shared" si="0"/>
        <v>-45056</v>
      </c>
    </row>
    <row r="13" spans="1:10" ht="18" customHeight="1">
      <c r="A13" s="266"/>
      <c r="B13" s="272"/>
      <c r="C13" s="274"/>
      <c r="D13" s="273"/>
      <c r="E13" s="274"/>
      <c r="F13" s="262" t="s">
        <v>280</v>
      </c>
      <c r="G13" s="264"/>
      <c r="H13" s="2024">
        <f>교통휴양시설부!H25</f>
        <v>955278</v>
      </c>
      <c r="I13" s="2038">
        <v>992443</v>
      </c>
      <c r="J13" s="265">
        <f t="shared" si="0"/>
        <v>-37165</v>
      </c>
    </row>
    <row r="14" spans="1:10" ht="18" customHeight="1">
      <c r="A14" s="193"/>
      <c r="B14" s="194"/>
      <c r="C14" s="276"/>
      <c r="D14" s="277"/>
      <c r="E14" s="276"/>
      <c r="F14" s="279"/>
      <c r="G14" s="279" t="s">
        <v>281</v>
      </c>
      <c r="H14" s="2025">
        <f>교통휴양시설부!H26</f>
        <v>114226</v>
      </c>
      <c r="I14" s="2039">
        <v>184250</v>
      </c>
      <c r="J14" s="265">
        <f t="shared" si="0"/>
        <v>-70024</v>
      </c>
    </row>
    <row r="15" spans="1:10" ht="18" customHeight="1">
      <c r="A15" s="193"/>
      <c r="B15" s="194"/>
      <c r="C15" s="276"/>
      <c r="D15" s="277"/>
      <c r="E15" s="276"/>
      <c r="F15" s="276"/>
      <c r="G15" s="279" t="s">
        <v>282</v>
      </c>
      <c r="H15" s="2025">
        <f>교통휴양시설부!H38</f>
        <v>361368</v>
      </c>
      <c r="I15" s="2039">
        <v>315689</v>
      </c>
      <c r="J15" s="265">
        <f t="shared" si="0"/>
        <v>45679</v>
      </c>
    </row>
    <row r="16" spans="1:10" ht="18" customHeight="1">
      <c r="A16" s="193"/>
      <c r="B16" s="194"/>
      <c r="C16" s="276"/>
      <c r="D16" s="277"/>
      <c r="E16" s="276"/>
      <c r="F16" s="276"/>
      <c r="G16" s="279" t="s">
        <v>283</v>
      </c>
      <c r="H16" s="2025">
        <f>교통휴양시설부!H64</f>
        <v>51264</v>
      </c>
      <c r="I16" s="2039">
        <v>52204</v>
      </c>
      <c r="J16" s="265">
        <f t="shared" si="0"/>
        <v>-940</v>
      </c>
    </row>
    <row r="17" spans="1:10" ht="18" customHeight="1">
      <c r="A17" s="193"/>
      <c r="B17" s="194"/>
      <c r="C17" s="276"/>
      <c r="D17" s="277"/>
      <c r="E17" s="276"/>
      <c r="F17" s="276"/>
      <c r="G17" s="279" t="s">
        <v>284</v>
      </c>
      <c r="H17" s="2025">
        <f>교통휴양시설부!H79</f>
        <v>39500</v>
      </c>
      <c r="I17" s="2039">
        <v>39500</v>
      </c>
      <c r="J17" s="265">
        <f t="shared" si="0"/>
        <v>0</v>
      </c>
    </row>
    <row r="18" spans="1:10" ht="18" customHeight="1">
      <c r="A18" s="193"/>
      <c r="B18" s="194"/>
      <c r="C18" s="276"/>
      <c r="D18" s="277"/>
      <c r="E18" s="276"/>
      <c r="F18" s="276"/>
      <c r="G18" s="279" t="s">
        <v>2257</v>
      </c>
      <c r="H18" s="2025">
        <f>교통휴양시설부!H85</f>
        <v>385320</v>
      </c>
      <c r="I18" s="2039">
        <v>397200</v>
      </c>
      <c r="J18" s="265">
        <f t="shared" si="0"/>
        <v>-11880</v>
      </c>
    </row>
    <row r="19" spans="1:10" ht="18" customHeight="1">
      <c r="A19" s="193"/>
      <c r="B19" s="194"/>
      <c r="C19" s="276"/>
      <c r="D19" s="277"/>
      <c r="E19" s="276"/>
      <c r="F19" s="280"/>
      <c r="G19" s="279" t="s">
        <v>285</v>
      </c>
      <c r="H19" s="2025">
        <f>교통휴양시설부!H92</f>
        <v>3600</v>
      </c>
      <c r="I19" s="2039">
        <v>3600</v>
      </c>
      <c r="J19" s="265">
        <f t="shared" si="0"/>
        <v>0</v>
      </c>
    </row>
    <row r="20" spans="1:10" ht="18" customHeight="1">
      <c r="A20" s="266"/>
      <c r="B20" s="272"/>
      <c r="C20" s="274"/>
      <c r="D20" s="273"/>
      <c r="E20" s="274"/>
      <c r="F20" s="262" t="s">
        <v>286</v>
      </c>
      <c r="G20" s="264"/>
      <c r="H20" s="2024">
        <f>교통휴양시설부!H94</f>
        <v>14100</v>
      </c>
      <c r="I20" s="2038">
        <v>16400</v>
      </c>
      <c r="J20" s="265">
        <f t="shared" si="0"/>
        <v>-2300</v>
      </c>
    </row>
    <row r="21" spans="1:10" ht="18" customHeight="1">
      <c r="A21" s="193"/>
      <c r="B21" s="194"/>
      <c r="C21" s="276"/>
      <c r="D21" s="277"/>
      <c r="E21" s="276"/>
      <c r="F21" s="278"/>
      <c r="G21" s="279" t="s">
        <v>287</v>
      </c>
      <c r="H21" s="2025">
        <f>교통휴양시설부!H95</f>
        <v>14100</v>
      </c>
      <c r="I21" s="2039">
        <v>16400</v>
      </c>
      <c r="J21" s="265">
        <f t="shared" si="0"/>
        <v>-2300</v>
      </c>
    </row>
    <row r="22" spans="1:10" ht="18" customHeight="1">
      <c r="A22" s="266"/>
      <c r="B22" s="272"/>
      <c r="C22" s="274"/>
      <c r="D22" s="273"/>
      <c r="E22" s="274"/>
      <c r="F22" s="262" t="s">
        <v>288</v>
      </c>
      <c r="G22" s="264"/>
      <c r="H22" s="2025">
        <f>교통휴양시설부!H98</f>
        <v>0</v>
      </c>
      <c r="I22" s="2038">
        <v>0</v>
      </c>
      <c r="J22" s="265">
        <f t="shared" si="0"/>
        <v>0</v>
      </c>
    </row>
    <row r="23" spans="1:10" ht="18" customHeight="1">
      <c r="A23" s="193"/>
      <c r="B23" s="194"/>
      <c r="C23" s="276"/>
      <c r="D23" s="277"/>
      <c r="E23" s="276"/>
      <c r="F23" s="278"/>
      <c r="G23" s="279" t="s">
        <v>289</v>
      </c>
      <c r="H23" s="2025">
        <f>교통휴양시설부!H99</f>
        <v>0</v>
      </c>
      <c r="I23" s="2039">
        <v>0</v>
      </c>
      <c r="J23" s="265">
        <f t="shared" si="0"/>
        <v>0</v>
      </c>
    </row>
    <row r="24" spans="1:10" ht="18" customHeight="1">
      <c r="A24" s="266"/>
      <c r="B24" s="272"/>
      <c r="C24" s="274"/>
      <c r="D24" s="273"/>
      <c r="E24" s="274"/>
      <c r="F24" s="262" t="s">
        <v>290</v>
      </c>
      <c r="G24" s="264"/>
      <c r="H24" s="2024">
        <f>교통휴양시설부!H100</f>
        <v>6300</v>
      </c>
      <c r="I24" s="2038">
        <v>6300</v>
      </c>
      <c r="J24" s="265">
        <f t="shared" si="0"/>
        <v>0</v>
      </c>
    </row>
    <row r="25" spans="1:10" ht="18" customHeight="1">
      <c r="A25" s="193"/>
      <c r="B25" s="194"/>
      <c r="C25" s="276"/>
      <c r="D25" s="277"/>
      <c r="E25" s="276"/>
      <c r="F25" s="278"/>
      <c r="G25" s="279" t="s">
        <v>291</v>
      </c>
      <c r="H25" s="2025">
        <f>교통휴양시설부!H101</f>
        <v>6300</v>
      </c>
      <c r="I25" s="2039">
        <v>6300</v>
      </c>
      <c r="J25" s="265">
        <f t="shared" si="0"/>
        <v>0</v>
      </c>
    </row>
    <row r="26" spans="1:10" ht="18" customHeight="1">
      <c r="A26" s="266"/>
      <c r="B26" s="272"/>
      <c r="C26" s="274"/>
      <c r="D26" s="273"/>
      <c r="E26" s="274"/>
      <c r="F26" s="262" t="s">
        <v>292</v>
      </c>
      <c r="G26" s="264"/>
      <c r="H26" s="2023">
        <f>교통휴양시설부!H106</f>
        <v>7000</v>
      </c>
      <c r="I26" s="2037">
        <v>7000</v>
      </c>
      <c r="J26" s="265">
        <f t="shared" si="0"/>
        <v>0</v>
      </c>
    </row>
    <row r="27" spans="1:10" ht="18" customHeight="1">
      <c r="A27" s="193"/>
      <c r="B27" s="194"/>
      <c r="C27" s="276"/>
      <c r="D27" s="277"/>
      <c r="E27" s="281"/>
      <c r="F27" s="278"/>
      <c r="G27" s="282" t="s">
        <v>292</v>
      </c>
      <c r="H27" s="2025">
        <f>교통휴양시설부!H107</f>
        <v>7000</v>
      </c>
      <c r="I27" s="2039">
        <v>7000</v>
      </c>
      <c r="J27" s="265">
        <f t="shared" si="0"/>
        <v>0</v>
      </c>
    </row>
    <row r="28" spans="1:10" ht="18" customHeight="1">
      <c r="A28" s="266"/>
      <c r="B28" s="272"/>
      <c r="C28" s="274"/>
      <c r="D28" s="273"/>
      <c r="E28" s="262" t="s">
        <v>293</v>
      </c>
      <c r="F28" s="263"/>
      <c r="G28" s="264"/>
      <c r="H28" s="2024">
        <f>H29</f>
        <v>162000</v>
      </c>
      <c r="I28" s="2038">
        <v>180859</v>
      </c>
      <c r="J28" s="265">
        <f t="shared" si="0"/>
        <v>-18859</v>
      </c>
    </row>
    <row r="29" spans="1:10" ht="18" customHeight="1">
      <c r="A29" s="193"/>
      <c r="B29" s="194"/>
      <c r="C29" s="276"/>
      <c r="D29" s="276"/>
      <c r="E29" s="283"/>
      <c r="F29" s="262" t="s">
        <v>294</v>
      </c>
      <c r="G29" s="264"/>
      <c r="H29" s="2025">
        <f>교통휴양시설부!H111</f>
        <v>162000</v>
      </c>
      <c r="I29" s="2039">
        <v>180859</v>
      </c>
      <c r="J29" s="265">
        <f t="shared" si="0"/>
        <v>-18859</v>
      </c>
    </row>
    <row r="30" spans="1:10" ht="18" customHeight="1">
      <c r="A30" s="193"/>
      <c r="B30" s="194"/>
      <c r="C30" s="276"/>
      <c r="D30" s="276"/>
      <c r="E30" s="281"/>
      <c r="F30" s="278"/>
      <c r="G30" s="282" t="s">
        <v>295</v>
      </c>
      <c r="H30" s="2025">
        <f>교통휴양시설부!H112</f>
        <v>162000</v>
      </c>
      <c r="I30" s="2039">
        <v>180859</v>
      </c>
      <c r="J30" s="265">
        <f t="shared" si="0"/>
        <v>-18859</v>
      </c>
    </row>
    <row r="31" spans="1:10" ht="18" customHeight="1">
      <c r="A31" s="193"/>
      <c r="B31" s="194"/>
      <c r="C31" s="276"/>
      <c r="D31" s="262" t="s">
        <v>296</v>
      </c>
      <c r="E31" s="263"/>
      <c r="F31" s="263"/>
      <c r="G31" s="264"/>
      <c r="H31" s="2024">
        <f>H32+H44</f>
        <v>165485</v>
      </c>
      <c r="I31" s="2038">
        <v>168033</v>
      </c>
      <c r="J31" s="265">
        <f t="shared" si="0"/>
        <v>-2548</v>
      </c>
    </row>
    <row r="32" spans="1:10" ht="18" customHeight="1">
      <c r="A32" s="266"/>
      <c r="B32" s="272"/>
      <c r="C32" s="274"/>
      <c r="D32" s="274"/>
      <c r="E32" s="284" t="s">
        <v>297</v>
      </c>
      <c r="F32" s="285"/>
      <c r="G32" s="286"/>
      <c r="H32" s="2024">
        <f>H33+H35+H40+H42</f>
        <v>156340</v>
      </c>
      <c r="I32" s="2038">
        <v>158033</v>
      </c>
      <c r="J32" s="265">
        <f t="shared" si="0"/>
        <v>-1693</v>
      </c>
    </row>
    <row r="33" spans="1:10" ht="18" customHeight="1">
      <c r="A33" s="266"/>
      <c r="B33" s="272"/>
      <c r="C33" s="274"/>
      <c r="D33" s="273"/>
      <c r="E33" s="275"/>
      <c r="F33" s="262" t="s">
        <v>278</v>
      </c>
      <c r="G33" s="264"/>
      <c r="H33" s="2024">
        <f>교통휴양시설부!H117</f>
        <v>140820</v>
      </c>
      <c r="I33" s="2038">
        <v>142285</v>
      </c>
      <c r="J33" s="265">
        <f t="shared" si="0"/>
        <v>-1465</v>
      </c>
    </row>
    <row r="34" spans="1:10" ht="18" customHeight="1">
      <c r="A34" s="193"/>
      <c r="B34" s="194"/>
      <c r="C34" s="276"/>
      <c r="D34" s="277"/>
      <c r="E34" s="276"/>
      <c r="F34" s="278"/>
      <c r="G34" s="279" t="s">
        <v>279</v>
      </c>
      <c r="H34" s="2025">
        <f>교통휴양시설부!H118</f>
        <v>140820</v>
      </c>
      <c r="I34" s="2039">
        <v>142285</v>
      </c>
      <c r="J34" s="265">
        <f t="shared" si="0"/>
        <v>-1465</v>
      </c>
    </row>
    <row r="35" spans="1:10" ht="18" customHeight="1">
      <c r="A35" s="266"/>
      <c r="B35" s="272"/>
      <c r="C35" s="274"/>
      <c r="D35" s="273"/>
      <c r="E35" s="274"/>
      <c r="F35" s="262" t="s">
        <v>280</v>
      </c>
      <c r="G35" s="264"/>
      <c r="H35" s="2024">
        <f>교통휴양시설부!H125</f>
        <v>13320</v>
      </c>
      <c r="I35" s="2038">
        <v>13548</v>
      </c>
      <c r="J35" s="265">
        <f t="shared" si="0"/>
        <v>-228</v>
      </c>
    </row>
    <row r="36" spans="1:10" ht="18" customHeight="1">
      <c r="A36" s="193"/>
      <c r="B36" s="194"/>
      <c r="C36" s="276"/>
      <c r="D36" s="277"/>
      <c r="E36" s="276"/>
      <c r="F36" s="278"/>
      <c r="G36" s="279" t="s">
        <v>281</v>
      </c>
      <c r="H36" s="2025">
        <f>교통휴양시설부!H126</f>
        <v>2160</v>
      </c>
      <c r="I36" s="2039">
        <v>2388</v>
      </c>
      <c r="J36" s="265">
        <f t="shared" si="0"/>
        <v>-228</v>
      </c>
    </row>
    <row r="37" spans="1:10" ht="18" customHeight="1">
      <c r="A37" s="193"/>
      <c r="B37" s="194"/>
      <c r="C37" s="276"/>
      <c r="D37" s="277"/>
      <c r="E37" s="276"/>
      <c r="F37" s="278"/>
      <c r="G37" s="279" t="s">
        <v>282</v>
      </c>
      <c r="H37" s="2025">
        <f>교통휴양시설부!H128</f>
        <v>360</v>
      </c>
      <c r="I37" s="2039">
        <v>360</v>
      </c>
      <c r="J37" s="265">
        <f t="shared" si="0"/>
        <v>0</v>
      </c>
    </row>
    <row r="38" spans="1:10" ht="18" customHeight="1">
      <c r="A38" s="193"/>
      <c r="B38" s="194"/>
      <c r="C38" s="276"/>
      <c r="D38" s="277"/>
      <c r="E38" s="276"/>
      <c r="F38" s="278"/>
      <c r="G38" s="279" t="s">
        <v>284</v>
      </c>
      <c r="H38" s="2025">
        <f>교통휴양시설부!H130</f>
        <v>2400</v>
      </c>
      <c r="I38" s="2039">
        <v>2400</v>
      </c>
      <c r="J38" s="265">
        <f t="shared" si="0"/>
        <v>0</v>
      </c>
    </row>
    <row r="39" spans="1:10" ht="18" customHeight="1">
      <c r="A39" s="193"/>
      <c r="B39" s="194"/>
      <c r="C39" s="276"/>
      <c r="D39" s="277"/>
      <c r="E39" s="276"/>
      <c r="F39" s="278"/>
      <c r="G39" s="279" t="s">
        <v>2257</v>
      </c>
      <c r="H39" s="2025">
        <f>교통휴양시설부!H134</f>
        <v>8400</v>
      </c>
      <c r="I39" s="2039">
        <v>8400</v>
      </c>
      <c r="J39" s="265">
        <f t="shared" si="0"/>
        <v>0</v>
      </c>
    </row>
    <row r="40" spans="1:10" ht="18" customHeight="1">
      <c r="A40" s="266"/>
      <c r="B40" s="272"/>
      <c r="C40" s="274"/>
      <c r="D40" s="273"/>
      <c r="E40" s="274"/>
      <c r="F40" s="262" t="s">
        <v>290</v>
      </c>
      <c r="G40" s="264"/>
      <c r="H40" s="2024">
        <f>교통휴양시설부!H137</f>
        <v>1200</v>
      </c>
      <c r="I40" s="2038">
        <v>1200</v>
      </c>
      <c r="J40" s="265">
        <f t="shared" si="0"/>
        <v>0</v>
      </c>
    </row>
    <row r="41" spans="1:10" ht="18" customHeight="1">
      <c r="A41" s="193"/>
      <c r="B41" s="194"/>
      <c r="C41" s="276"/>
      <c r="D41" s="277"/>
      <c r="E41" s="276"/>
      <c r="F41" s="278"/>
      <c r="G41" s="279" t="s">
        <v>291</v>
      </c>
      <c r="H41" s="2025">
        <f>교통휴양시설부!H138</f>
        <v>1200</v>
      </c>
      <c r="I41" s="2039">
        <v>1200</v>
      </c>
      <c r="J41" s="265">
        <f t="shared" si="0"/>
        <v>0</v>
      </c>
    </row>
    <row r="42" spans="1:10" ht="18" customHeight="1">
      <c r="A42" s="266"/>
      <c r="B42" s="272"/>
      <c r="C42" s="274"/>
      <c r="D42" s="273"/>
      <c r="E42" s="274"/>
      <c r="F42" s="262" t="s">
        <v>292</v>
      </c>
      <c r="G42" s="264"/>
      <c r="H42" s="2024">
        <f>교통휴양시설부!H142</f>
        <v>1000</v>
      </c>
      <c r="I42" s="2038">
        <v>1000</v>
      </c>
      <c r="J42" s="265">
        <f t="shared" si="0"/>
        <v>0</v>
      </c>
    </row>
    <row r="43" spans="1:10" ht="18" customHeight="1">
      <c r="A43" s="193"/>
      <c r="B43" s="194"/>
      <c r="C43" s="276"/>
      <c r="D43" s="277"/>
      <c r="E43" s="281"/>
      <c r="F43" s="278"/>
      <c r="G43" s="282" t="s">
        <v>292</v>
      </c>
      <c r="H43" s="2025">
        <f>교통휴양시설부!H143</f>
        <v>1000</v>
      </c>
      <c r="I43" s="2039">
        <v>1000</v>
      </c>
      <c r="J43" s="265">
        <f t="shared" si="0"/>
        <v>0</v>
      </c>
    </row>
    <row r="44" spans="1:10" ht="18" customHeight="1">
      <c r="A44" s="266"/>
      <c r="B44" s="272"/>
      <c r="C44" s="274"/>
      <c r="D44" s="273"/>
      <c r="E44" s="262" t="s">
        <v>298</v>
      </c>
      <c r="F44" s="263"/>
      <c r="G44" s="264"/>
      <c r="H44" s="2024">
        <f>H45</f>
        <v>9145</v>
      </c>
      <c r="I44" s="2038">
        <v>10000</v>
      </c>
      <c r="J44" s="265">
        <f t="shared" si="0"/>
        <v>-855</v>
      </c>
    </row>
    <row r="45" spans="1:10" ht="18" customHeight="1">
      <c r="A45" s="266"/>
      <c r="B45" s="272"/>
      <c r="C45" s="274"/>
      <c r="D45" s="274"/>
      <c r="E45" s="275"/>
      <c r="F45" s="262" t="s">
        <v>294</v>
      </c>
      <c r="G45" s="264"/>
      <c r="H45" s="2024">
        <f>교통휴양시설부!H147</f>
        <v>9145</v>
      </c>
      <c r="I45" s="2038">
        <v>10000</v>
      </c>
      <c r="J45" s="265">
        <f t="shared" si="0"/>
        <v>-855</v>
      </c>
    </row>
    <row r="46" spans="1:10" ht="18" customHeight="1">
      <c r="A46" s="193"/>
      <c r="B46" s="194"/>
      <c r="C46" s="277"/>
      <c r="D46" s="280"/>
      <c r="E46" s="280"/>
      <c r="F46" s="2048"/>
      <c r="G46" s="282" t="s">
        <v>295</v>
      </c>
      <c r="H46" s="2025">
        <f>교통휴양시설부!H148</f>
        <v>9145</v>
      </c>
      <c r="I46" s="2039">
        <v>10000</v>
      </c>
      <c r="J46" s="265">
        <f t="shared" si="0"/>
        <v>-855</v>
      </c>
    </row>
    <row r="47" spans="1:10" ht="18" customHeight="1">
      <c r="A47" s="266"/>
      <c r="B47" s="272"/>
      <c r="C47" s="273"/>
      <c r="D47" s="262" t="s">
        <v>299</v>
      </c>
      <c r="E47" s="263"/>
      <c r="F47" s="263"/>
      <c r="G47" s="264"/>
      <c r="H47" s="2023">
        <f>H48+H63</f>
        <v>317719</v>
      </c>
      <c r="I47" s="2037">
        <v>297674</v>
      </c>
      <c r="J47" s="265">
        <f t="shared" si="0"/>
        <v>20045</v>
      </c>
    </row>
    <row r="48" spans="1:10" ht="18" customHeight="1">
      <c r="A48" s="266"/>
      <c r="B48" s="272"/>
      <c r="C48" s="274"/>
      <c r="D48" s="275"/>
      <c r="E48" s="262" t="s">
        <v>300</v>
      </c>
      <c r="F48" s="263"/>
      <c r="G48" s="264"/>
      <c r="H48" s="2024">
        <f>H49+H51+H59+H61</f>
        <v>288863</v>
      </c>
      <c r="I48" s="2038">
        <v>273218</v>
      </c>
      <c r="J48" s="265">
        <f t="shared" si="0"/>
        <v>15645</v>
      </c>
    </row>
    <row r="49" spans="1:10" ht="18" customHeight="1">
      <c r="A49" s="266"/>
      <c r="B49" s="272"/>
      <c r="C49" s="274"/>
      <c r="D49" s="273"/>
      <c r="E49" s="275"/>
      <c r="F49" s="262" t="s">
        <v>278</v>
      </c>
      <c r="G49" s="264"/>
      <c r="H49" s="2024">
        <f>교통휴양시설부!H153</f>
        <v>73591</v>
      </c>
      <c r="I49" s="2038">
        <v>67696</v>
      </c>
      <c r="J49" s="265">
        <f t="shared" si="0"/>
        <v>5895</v>
      </c>
    </row>
    <row r="50" spans="1:10" ht="18" customHeight="1">
      <c r="A50" s="193"/>
      <c r="B50" s="194"/>
      <c r="C50" s="276"/>
      <c r="D50" s="277"/>
      <c r="E50" s="276"/>
      <c r="F50" s="278"/>
      <c r="G50" s="279" t="s">
        <v>279</v>
      </c>
      <c r="H50" s="2025">
        <f>교통휴양시설부!H154</f>
        <v>73591</v>
      </c>
      <c r="I50" s="2039">
        <v>67696</v>
      </c>
      <c r="J50" s="265">
        <f t="shared" si="0"/>
        <v>5895</v>
      </c>
    </row>
    <row r="51" spans="1:10" ht="18" customHeight="1">
      <c r="A51" s="266"/>
      <c r="B51" s="272"/>
      <c r="C51" s="274"/>
      <c r="D51" s="273"/>
      <c r="E51" s="274"/>
      <c r="F51" s="262" t="s">
        <v>280</v>
      </c>
      <c r="G51" s="264"/>
      <c r="H51" s="2024">
        <f>교통휴양시설부!H166</f>
        <v>209702</v>
      </c>
      <c r="I51" s="2038">
        <v>199952</v>
      </c>
      <c r="J51" s="265">
        <f t="shared" si="0"/>
        <v>9750</v>
      </c>
    </row>
    <row r="52" spans="1:10" ht="18" customHeight="1">
      <c r="A52" s="193"/>
      <c r="B52" s="194"/>
      <c r="C52" s="276"/>
      <c r="D52" s="277"/>
      <c r="E52" s="276"/>
      <c r="F52" s="278"/>
      <c r="G52" s="279" t="s">
        <v>281</v>
      </c>
      <c r="H52" s="2025">
        <f>교통휴양시설부!H167</f>
        <v>28512</v>
      </c>
      <c r="I52" s="2039">
        <v>27762</v>
      </c>
      <c r="J52" s="265">
        <f t="shared" si="0"/>
        <v>750</v>
      </c>
    </row>
    <row r="53" spans="1:10" ht="18" customHeight="1">
      <c r="A53" s="193"/>
      <c r="B53" s="194"/>
      <c r="C53" s="276"/>
      <c r="D53" s="277"/>
      <c r="E53" s="276"/>
      <c r="F53" s="278"/>
      <c r="G53" s="279" t="s">
        <v>301</v>
      </c>
      <c r="H53" s="2025">
        <f>교통휴양시설부!H176</f>
        <v>500</v>
      </c>
      <c r="I53" s="2039">
        <v>500</v>
      </c>
      <c r="J53" s="265">
        <f t="shared" si="0"/>
        <v>0</v>
      </c>
    </row>
    <row r="54" spans="1:10" ht="18" customHeight="1">
      <c r="A54" s="193"/>
      <c r="B54" s="194"/>
      <c r="C54" s="276"/>
      <c r="D54" s="277"/>
      <c r="E54" s="276"/>
      <c r="F54" s="278"/>
      <c r="G54" s="279" t="s">
        <v>282</v>
      </c>
      <c r="H54" s="2025">
        <f>교통휴양시설부!H178</f>
        <v>28890</v>
      </c>
      <c r="I54" s="2039">
        <v>28290</v>
      </c>
      <c r="J54" s="265">
        <f t="shared" si="0"/>
        <v>600</v>
      </c>
    </row>
    <row r="55" spans="1:10" ht="18" customHeight="1">
      <c r="A55" s="193"/>
      <c r="B55" s="194"/>
      <c r="C55" s="276"/>
      <c r="D55" s="277"/>
      <c r="E55" s="276"/>
      <c r="F55" s="278"/>
      <c r="G55" s="279" t="s">
        <v>283</v>
      </c>
      <c r="H55" s="2025">
        <f>교통휴양시설부!H185</f>
        <v>14580</v>
      </c>
      <c r="I55" s="2039">
        <v>14580</v>
      </c>
      <c r="J55" s="265">
        <f t="shared" si="0"/>
        <v>0</v>
      </c>
    </row>
    <row r="56" spans="1:10" ht="18" customHeight="1">
      <c r="A56" s="193"/>
      <c r="B56" s="194"/>
      <c r="C56" s="276"/>
      <c r="D56" s="277"/>
      <c r="E56" s="276"/>
      <c r="F56" s="278"/>
      <c r="G56" s="279" t="s">
        <v>284</v>
      </c>
      <c r="H56" s="2025">
        <f>교통휴양시설부!I192</f>
        <v>5040</v>
      </c>
      <c r="I56" s="2039">
        <v>5040</v>
      </c>
      <c r="J56" s="265">
        <f t="shared" si="0"/>
        <v>0</v>
      </c>
    </row>
    <row r="57" spans="1:10" ht="18" customHeight="1">
      <c r="A57" s="193"/>
      <c r="B57" s="194"/>
      <c r="C57" s="276"/>
      <c r="D57" s="277"/>
      <c r="E57" s="276"/>
      <c r="F57" s="278"/>
      <c r="G57" s="279" t="s">
        <v>2257</v>
      </c>
      <c r="H57" s="2025">
        <f>교통휴양시설부!H197</f>
        <v>130500</v>
      </c>
      <c r="I57" s="2039">
        <v>122100</v>
      </c>
      <c r="J57" s="265">
        <f t="shared" si="0"/>
        <v>8400</v>
      </c>
    </row>
    <row r="58" spans="1:10" ht="18" customHeight="1">
      <c r="A58" s="193"/>
      <c r="B58" s="194"/>
      <c r="C58" s="276"/>
      <c r="D58" s="277"/>
      <c r="E58" s="276"/>
      <c r="F58" s="278"/>
      <c r="G58" s="279" t="s">
        <v>285</v>
      </c>
      <c r="H58" s="2025">
        <f>교통휴양시설부!H202</f>
        <v>1680</v>
      </c>
      <c r="I58" s="2039">
        <v>1680</v>
      </c>
      <c r="J58" s="265">
        <f t="shared" si="0"/>
        <v>0</v>
      </c>
    </row>
    <row r="59" spans="1:10" ht="18" customHeight="1">
      <c r="A59" s="266"/>
      <c r="B59" s="272"/>
      <c r="C59" s="274"/>
      <c r="D59" s="273"/>
      <c r="E59" s="274"/>
      <c r="F59" s="262" t="s">
        <v>286</v>
      </c>
      <c r="G59" s="264"/>
      <c r="H59" s="2024">
        <f>교통휴양시설부!H204</f>
        <v>2570</v>
      </c>
      <c r="I59" s="2038">
        <v>2570</v>
      </c>
      <c r="J59" s="265">
        <f t="shared" si="0"/>
        <v>0</v>
      </c>
    </row>
    <row r="60" spans="1:10" ht="18" customHeight="1">
      <c r="A60" s="193"/>
      <c r="B60" s="194"/>
      <c r="C60" s="276"/>
      <c r="D60" s="277"/>
      <c r="E60" s="276"/>
      <c r="F60" s="278"/>
      <c r="G60" s="279" t="s">
        <v>287</v>
      </c>
      <c r="H60" s="2025">
        <f>교통휴양시설부!H205</f>
        <v>2570</v>
      </c>
      <c r="I60" s="2039">
        <v>2570</v>
      </c>
      <c r="J60" s="265">
        <f t="shared" si="0"/>
        <v>0</v>
      </c>
    </row>
    <row r="61" spans="1:10" ht="18" customHeight="1">
      <c r="A61" s="266"/>
      <c r="B61" s="272"/>
      <c r="C61" s="274"/>
      <c r="D61" s="273"/>
      <c r="E61" s="274"/>
      <c r="F61" s="262" t="s">
        <v>290</v>
      </c>
      <c r="G61" s="264"/>
      <c r="H61" s="2024">
        <f>교통휴양시설부!H208</f>
        <v>3000</v>
      </c>
      <c r="I61" s="2038">
        <v>3000</v>
      </c>
      <c r="J61" s="265">
        <f t="shared" si="0"/>
        <v>0</v>
      </c>
    </row>
    <row r="62" spans="1:10" ht="18" customHeight="1">
      <c r="A62" s="193"/>
      <c r="B62" s="194"/>
      <c r="C62" s="276"/>
      <c r="D62" s="277"/>
      <c r="E62" s="280"/>
      <c r="F62" s="2048"/>
      <c r="G62" s="282" t="s">
        <v>291</v>
      </c>
      <c r="H62" s="2025">
        <f>교통휴양시설부!H209</f>
        <v>3000</v>
      </c>
      <c r="I62" s="2039">
        <v>3000</v>
      </c>
      <c r="J62" s="265">
        <f t="shared" si="0"/>
        <v>0</v>
      </c>
    </row>
    <row r="63" spans="1:10" ht="18" customHeight="1">
      <c r="A63" s="266"/>
      <c r="B63" s="272"/>
      <c r="C63" s="274"/>
      <c r="D63" s="273"/>
      <c r="E63" s="262" t="s">
        <v>302</v>
      </c>
      <c r="F63" s="263"/>
      <c r="G63" s="264"/>
      <c r="H63" s="2024">
        <f>H64</f>
        <v>28856</v>
      </c>
      <c r="I63" s="2038">
        <v>24456</v>
      </c>
      <c r="J63" s="265">
        <f t="shared" si="0"/>
        <v>4400</v>
      </c>
    </row>
    <row r="64" spans="1:10" ht="18" customHeight="1">
      <c r="A64" s="266"/>
      <c r="B64" s="272"/>
      <c r="C64" s="274"/>
      <c r="D64" s="274"/>
      <c r="E64" s="287"/>
      <c r="F64" s="262" t="s">
        <v>294</v>
      </c>
      <c r="G64" s="264"/>
      <c r="H64" s="2024">
        <f>교통휴양시설부!H213</f>
        <v>28856</v>
      </c>
      <c r="I64" s="2038">
        <v>24456</v>
      </c>
      <c r="J64" s="265">
        <f t="shared" si="0"/>
        <v>4400</v>
      </c>
    </row>
    <row r="65" spans="1:10" ht="18" customHeight="1">
      <c r="A65" s="193"/>
      <c r="B65" s="194"/>
      <c r="C65" s="277"/>
      <c r="D65" s="280"/>
      <c r="E65" s="280"/>
      <c r="F65" s="2048"/>
      <c r="G65" s="282" t="s">
        <v>295</v>
      </c>
      <c r="H65" s="2025">
        <f>교통휴양시설부!H214</f>
        <v>28856</v>
      </c>
      <c r="I65" s="2039">
        <v>24456</v>
      </c>
      <c r="J65" s="265">
        <f t="shared" si="0"/>
        <v>4400</v>
      </c>
    </row>
    <row r="66" spans="1:10" ht="18" customHeight="1">
      <c r="A66" s="266"/>
      <c r="B66" s="272"/>
      <c r="C66" s="273"/>
      <c r="D66" s="262" t="s">
        <v>303</v>
      </c>
      <c r="E66" s="263"/>
      <c r="F66" s="263"/>
      <c r="G66" s="264"/>
      <c r="H66" s="2023">
        <f>H67+H86</f>
        <v>195000</v>
      </c>
      <c r="I66" s="2037">
        <v>185000</v>
      </c>
      <c r="J66" s="265">
        <f t="shared" si="0"/>
        <v>10000</v>
      </c>
    </row>
    <row r="67" spans="1:10" ht="18" customHeight="1">
      <c r="A67" s="266"/>
      <c r="B67" s="272"/>
      <c r="C67" s="274"/>
      <c r="D67" s="275"/>
      <c r="E67" s="262" t="s">
        <v>304</v>
      </c>
      <c r="F67" s="263"/>
      <c r="G67" s="264"/>
      <c r="H67" s="2024">
        <f>H68+H70+H78+H82+H80+H84</f>
        <v>180794</v>
      </c>
      <c r="I67" s="2038">
        <v>169301</v>
      </c>
      <c r="J67" s="265">
        <f t="shared" si="0"/>
        <v>11493</v>
      </c>
    </row>
    <row r="68" spans="1:10" ht="18" customHeight="1">
      <c r="A68" s="266"/>
      <c r="B68" s="272"/>
      <c r="C68" s="274"/>
      <c r="D68" s="273"/>
      <c r="E68" s="275"/>
      <c r="F68" s="262" t="s">
        <v>278</v>
      </c>
      <c r="G68" s="264"/>
      <c r="H68" s="2024">
        <f>교통휴양시설부!H222</f>
        <v>89140</v>
      </c>
      <c r="I68" s="2038">
        <v>60909</v>
      </c>
      <c r="J68" s="265">
        <f t="shared" si="0"/>
        <v>28231</v>
      </c>
    </row>
    <row r="69" spans="1:10" ht="18" customHeight="1">
      <c r="A69" s="193"/>
      <c r="B69" s="194"/>
      <c r="C69" s="276"/>
      <c r="D69" s="277"/>
      <c r="E69" s="276"/>
      <c r="F69" s="278"/>
      <c r="G69" s="279" t="s">
        <v>279</v>
      </c>
      <c r="H69" s="2025">
        <f>교통휴양시설부!H223</f>
        <v>89140</v>
      </c>
      <c r="I69" s="2039">
        <v>60909</v>
      </c>
      <c r="J69" s="265">
        <f t="shared" si="0"/>
        <v>28231</v>
      </c>
    </row>
    <row r="70" spans="1:10" ht="18" customHeight="1">
      <c r="A70" s="266"/>
      <c r="B70" s="272"/>
      <c r="C70" s="274"/>
      <c r="D70" s="273"/>
      <c r="E70" s="274"/>
      <c r="F70" s="262" t="s">
        <v>280</v>
      </c>
      <c r="G70" s="264"/>
      <c r="H70" s="2024">
        <f>교통휴양시설부!H242</f>
        <v>83814</v>
      </c>
      <c r="I70" s="2038">
        <v>99512</v>
      </c>
      <c r="J70" s="265">
        <f t="shared" si="0"/>
        <v>-15698</v>
      </c>
    </row>
    <row r="71" spans="1:10" ht="18" customHeight="1">
      <c r="A71" s="193"/>
      <c r="B71" s="194"/>
      <c r="C71" s="276"/>
      <c r="D71" s="277"/>
      <c r="E71" s="276"/>
      <c r="F71" s="278"/>
      <c r="G71" s="279" t="s">
        <v>281</v>
      </c>
      <c r="H71" s="2025">
        <f>교통휴양시설부!H243</f>
        <v>14266</v>
      </c>
      <c r="I71" s="2039">
        <v>14914</v>
      </c>
      <c r="J71" s="265">
        <f t="shared" si="0"/>
        <v>-648</v>
      </c>
    </row>
    <row r="72" spans="1:10" ht="18" customHeight="1">
      <c r="A72" s="193"/>
      <c r="B72" s="194"/>
      <c r="C72" s="276"/>
      <c r="D72" s="277"/>
      <c r="E72" s="276"/>
      <c r="F72" s="278"/>
      <c r="G72" s="279" t="s">
        <v>301</v>
      </c>
      <c r="H72" s="2025">
        <f>교통휴양시설부!H255</f>
        <v>500</v>
      </c>
      <c r="I72" s="2039">
        <v>500</v>
      </c>
      <c r="J72" s="265">
        <f t="shared" ref="J72:J135" si="1">H72-I72</f>
        <v>0</v>
      </c>
    </row>
    <row r="73" spans="1:10" ht="18" customHeight="1">
      <c r="A73" s="193"/>
      <c r="B73" s="194"/>
      <c r="C73" s="276"/>
      <c r="D73" s="277"/>
      <c r="E73" s="276"/>
      <c r="F73" s="278"/>
      <c r="G73" s="279" t="s">
        <v>282</v>
      </c>
      <c r="H73" s="2025">
        <f>교통휴양시설부!H257</f>
        <v>24900</v>
      </c>
      <c r="I73" s="2039">
        <v>17930</v>
      </c>
      <c r="J73" s="265">
        <f t="shared" si="1"/>
        <v>6970</v>
      </c>
    </row>
    <row r="74" spans="1:10" ht="18" customHeight="1">
      <c r="A74" s="193"/>
      <c r="B74" s="194"/>
      <c r="C74" s="276"/>
      <c r="D74" s="277"/>
      <c r="E74" s="276"/>
      <c r="F74" s="278"/>
      <c r="G74" s="279" t="s">
        <v>283</v>
      </c>
      <c r="H74" s="2025">
        <f>교통휴양시설부!H265</f>
        <v>12240</v>
      </c>
      <c r="I74" s="2039">
        <v>11760</v>
      </c>
      <c r="J74" s="265">
        <f t="shared" si="1"/>
        <v>480</v>
      </c>
    </row>
    <row r="75" spans="1:10" ht="18" customHeight="1">
      <c r="A75" s="193"/>
      <c r="B75" s="194"/>
      <c r="C75" s="276"/>
      <c r="D75" s="277"/>
      <c r="E75" s="276"/>
      <c r="F75" s="278"/>
      <c r="G75" s="279" t="s">
        <v>284</v>
      </c>
      <c r="H75" s="2025">
        <f>교통휴양시설부!H269</f>
        <v>7080</v>
      </c>
      <c r="I75" s="2039">
        <v>6540</v>
      </c>
      <c r="J75" s="265">
        <f t="shared" si="1"/>
        <v>540</v>
      </c>
    </row>
    <row r="76" spans="1:10" ht="18" customHeight="1">
      <c r="A76" s="193"/>
      <c r="B76" s="194"/>
      <c r="C76" s="276"/>
      <c r="D76" s="277"/>
      <c r="E76" s="276"/>
      <c r="F76" s="278"/>
      <c r="G76" s="279" t="s">
        <v>2257</v>
      </c>
      <c r="H76" s="2025">
        <f>교통휴양시설부!H274</f>
        <v>23628</v>
      </c>
      <c r="I76" s="2039">
        <v>46428</v>
      </c>
      <c r="J76" s="265">
        <f t="shared" si="1"/>
        <v>-22800</v>
      </c>
    </row>
    <row r="77" spans="1:10" ht="18" customHeight="1">
      <c r="A77" s="193"/>
      <c r="B77" s="194"/>
      <c r="C77" s="276"/>
      <c r="D77" s="277"/>
      <c r="E77" s="276"/>
      <c r="F77" s="278"/>
      <c r="G77" s="279" t="s">
        <v>285</v>
      </c>
      <c r="H77" s="2025">
        <f>교통휴양시설부!H280</f>
        <v>1200</v>
      </c>
      <c r="I77" s="2039">
        <v>1440</v>
      </c>
      <c r="J77" s="265">
        <f t="shared" si="1"/>
        <v>-240</v>
      </c>
    </row>
    <row r="78" spans="1:10" ht="18" customHeight="1">
      <c r="A78" s="266"/>
      <c r="B78" s="272"/>
      <c r="C78" s="274"/>
      <c r="D78" s="273"/>
      <c r="E78" s="274"/>
      <c r="F78" s="262" t="s">
        <v>286</v>
      </c>
      <c r="G78" s="264"/>
      <c r="H78" s="2024">
        <f>교통휴양시설부!H282</f>
        <v>4440</v>
      </c>
      <c r="I78" s="2038">
        <v>6480</v>
      </c>
      <c r="J78" s="265">
        <f t="shared" si="1"/>
        <v>-2040</v>
      </c>
    </row>
    <row r="79" spans="1:10" ht="18" customHeight="1">
      <c r="A79" s="193"/>
      <c r="B79" s="194"/>
      <c r="C79" s="276"/>
      <c r="D79" s="277"/>
      <c r="E79" s="276"/>
      <c r="F79" s="278"/>
      <c r="G79" s="279" t="s">
        <v>287</v>
      </c>
      <c r="H79" s="2025">
        <f>교통휴양시설부!H283</f>
        <v>4440</v>
      </c>
      <c r="I79" s="2039">
        <v>6480</v>
      </c>
      <c r="J79" s="265">
        <f t="shared" si="1"/>
        <v>-2040</v>
      </c>
    </row>
    <row r="80" spans="1:10" ht="18" customHeight="1">
      <c r="A80" s="266"/>
      <c r="B80" s="272"/>
      <c r="C80" s="274"/>
      <c r="D80" s="273"/>
      <c r="E80" s="274"/>
      <c r="F80" s="262" t="s">
        <v>288</v>
      </c>
      <c r="G80" s="264"/>
      <c r="H80" s="2024">
        <f>교통휴양시설부!H286</f>
        <v>0</v>
      </c>
      <c r="I80" s="2038">
        <v>0</v>
      </c>
      <c r="J80" s="265">
        <f t="shared" si="1"/>
        <v>0</v>
      </c>
    </row>
    <row r="81" spans="1:10" ht="18" customHeight="1">
      <c r="A81" s="193"/>
      <c r="B81" s="194"/>
      <c r="C81" s="276"/>
      <c r="D81" s="277"/>
      <c r="E81" s="276"/>
      <c r="F81" s="2048"/>
      <c r="G81" s="282" t="s">
        <v>289</v>
      </c>
      <c r="H81" s="2025">
        <f>교통휴양시설부!H287</f>
        <v>0</v>
      </c>
      <c r="I81" s="2039">
        <v>0</v>
      </c>
      <c r="J81" s="265">
        <f t="shared" si="1"/>
        <v>0</v>
      </c>
    </row>
    <row r="82" spans="1:10" ht="18" customHeight="1">
      <c r="A82" s="266"/>
      <c r="B82" s="272"/>
      <c r="C82" s="274"/>
      <c r="D82" s="273"/>
      <c r="E82" s="274"/>
      <c r="F82" s="262" t="s">
        <v>290</v>
      </c>
      <c r="G82" s="264"/>
      <c r="H82" s="2024">
        <f>교통휴양시설부!H289</f>
        <v>2400</v>
      </c>
      <c r="I82" s="2038">
        <v>2400</v>
      </c>
      <c r="J82" s="265">
        <f t="shared" si="1"/>
        <v>0</v>
      </c>
    </row>
    <row r="83" spans="1:10" ht="18" customHeight="1">
      <c r="A83" s="193"/>
      <c r="B83" s="194"/>
      <c r="C83" s="276"/>
      <c r="D83" s="277"/>
      <c r="E83" s="276"/>
      <c r="F83" s="2048"/>
      <c r="G83" s="282" t="s">
        <v>291</v>
      </c>
      <c r="H83" s="2025">
        <f>교통휴양시설부!H290</f>
        <v>2400</v>
      </c>
      <c r="I83" s="2039">
        <v>2400</v>
      </c>
      <c r="J83" s="265">
        <f t="shared" si="1"/>
        <v>0</v>
      </c>
    </row>
    <row r="84" spans="1:10" ht="18" customHeight="1">
      <c r="A84" s="193"/>
      <c r="B84" s="194"/>
      <c r="C84" s="276"/>
      <c r="D84" s="277"/>
      <c r="E84" s="276"/>
      <c r="F84" s="288" t="s">
        <v>292</v>
      </c>
      <c r="G84" s="282"/>
      <c r="H84" s="2024">
        <f>교통휴양시설부!H293</f>
        <v>1000</v>
      </c>
      <c r="I84" s="2038">
        <v>0</v>
      </c>
      <c r="J84" s="265">
        <f t="shared" si="1"/>
        <v>1000</v>
      </c>
    </row>
    <row r="85" spans="1:10" ht="18" customHeight="1">
      <c r="A85" s="193"/>
      <c r="B85" s="194"/>
      <c r="C85" s="276"/>
      <c r="D85" s="277"/>
      <c r="E85" s="280"/>
      <c r="F85" s="289"/>
      <c r="G85" s="278" t="s">
        <v>292</v>
      </c>
      <c r="H85" s="2025">
        <f>교통휴양시설부!H294</f>
        <v>1000</v>
      </c>
      <c r="I85" s="2039">
        <v>0</v>
      </c>
      <c r="J85" s="265">
        <f t="shared" si="1"/>
        <v>1000</v>
      </c>
    </row>
    <row r="86" spans="1:10" ht="18" customHeight="1">
      <c r="A86" s="266"/>
      <c r="B86" s="272"/>
      <c r="C86" s="274"/>
      <c r="D86" s="273"/>
      <c r="E86" s="262" t="s">
        <v>305</v>
      </c>
      <c r="F86" s="263"/>
      <c r="G86" s="264"/>
      <c r="H86" s="2024">
        <f>H87</f>
        <v>14206</v>
      </c>
      <c r="I86" s="2038">
        <v>15699</v>
      </c>
      <c r="J86" s="265">
        <f t="shared" si="1"/>
        <v>-1493</v>
      </c>
    </row>
    <row r="87" spans="1:10" ht="18" customHeight="1">
      <c r="A87" s="266"/>
      <c r="B87" s="272"/>
      <c r="C87" s="274"/>
      <c r="D87" s="274"/>
      <c r="E87" s="287"/>
      <c r="F87" s="262" t="s">
        <v>294</v>
      </c>
      <c r="G87" s="264"/>
      <c r="H87" s="2024">
        <f>교통휴양시설부!H298</f>
        <v>14206</v>
      </c>
      <c r="I87" s="2038">
        <v>15699</v>
      </c>
      <c r="J87" s="265">
        <f t="shared" si="1"/>
        <v>-1493</v>
      </c>
    </row>
    <row r="88" spans="1:10" ht="18" customHeight="1">
      <c r="A88" s="193"/>
      <c r="B88" s="194"/>
      <c r="C88" s="277"/>
      <c r="D88" s="280"/>
      <c r="E88" s="280"/>
      <c r="F88" s="2048"/>
      <c r="G88" s="282" t="s">
        <v>295</v>
      </c>
      <c r="H88" s="2025">
        <f>교통휴양시설부!H299</f>
        <v>14206</v>
      </c>
      <c r="I88" s="2039">
        <v>15699</v>
      </c>
      <c r="J88" s="265">
        <f t="shared" si="1"/>
        <v>-1493</v>
      </c>
    </row>
    <row r="89" spans="1:10" ht="18" customHeight="1">
      <c r="A89" s="266"/>
      <c r="B89" s="272"/>
      <c r="C89" s="290" t="s">
        <v>141</v>
      </c>
      <c r="D89" s="291"/>
      <c r="E89" s="291"/>
      <c r="F89" s="291"/>
      <c r="G89" s="292"/>
      <c r="H89" s="2026">
        <f>H90+H115+H132+H146</f>
        <v>2905694</v>
      </c>
      <c r="I89" s="2040">
        <v>1977742</v>
      </c>
      <c r="J89" s="293">
        <f t="shared" si="1"/>
        <v>927952</v>
      </c>
    </row>
    <row r="90" spans="1:10" ht="18" customHeight="1">
      <c r="A90" s="266"/>
      <c r="B90" s="272"/>
      <c r="C90" s="273"/>
      <c r="D90" s="262" t="s">
        <v>306</v>
      </c>
      <c r="E90" s="263"/>
      <c r="F90" s="263"/>
      <c r="G90" s="264"/>
      <c r="H90" s="2023">
        <f>H91+H109</f>
        <v>1145394</v>
      </c>
      <c r="I90" s="2037">
        <v>1004886</v>
      </c>
      <c r="J90" s="265">
        <f t="shared" si="1"/>
        <v>140508</v>
      </c>
    </row>
    <row r="91" spans="1:10" ht="18" customHeight="1">
      <c r="A91" s="266"/>
      <c r="B91" s="272"/>
      <c r="C91" s="274"/>
      <c r="D91" s="275"/>
      <c r="E91" s="262" t="s">
        <v>307</v>
      </c>
      <c r="F91" s="263"/>
      <c r="G91" s="264"/>
      <c r="H91" s="2024">
        <f>H92+H94+H101+H103+H105+H107</f>
        <v>1045040</v>
      </c>
      <c r="I91" s="2038">
        <v>950032</v>
      </c>
      <c r="J91" s="265">
        <f t="shared" si="1"/>
        <v>95008</v>
      </c>
    </row>
    <row r="92" spans="1:10" ht="18" customHeight="1">
      <c r="A92" s="266"/>
      <c r="B92" s="272"/>
      <c r="C92" s="274"/>
      <c r="D92" s="273"/>
      <c r="E92" s="275"/>
      <c r="F92" s="262" t="s">
        <v>278</v>
      </c>
      <c r="G92" s="264"/>
      <c r="H92" s="2024">
        <f>체육시설부!H10</f>
        <v>140863</v>
      </c>
      <c r="I92" s="2038">
        <v>147745</v>
      </c>
      <c r="J92" s="265">
        <f t="shared" si="1"/>
        <v>-6882</v>
      </c>
    </row>
    <row r="93" spans="1:10" ht="18" customHeight="1">
      <c r="A93" s="193"/>
      <c r="B93" s="194"/>
      <c r="C93" s="276"/>
      <c r="D93" s="277"/>
      <c r="E93" s="276"/>
      <c r="F93" s="278"/>
      <c r="G93" s="279" t="s">
        <v>279</v>
      </c>
      <c r="H93" s="2025">
        <f>체육시설부!H11</f>
        <v>140863</v>
      </c>
      <c r="I93" s="2039">
        <v>147745</v>
      </c>
      <c r="J93" s="265">
        <f t="shared" si="1"/>
        <v>-6882</v>
      </c>
    </row>
    <row r="94" spans="1:10" ht="18" customHeight="1">
      <c r="A94" s="266"/>
      <c r="B94" s="272"/>
      <c r="C94" s="274"/>
      <c r="D94" s="273"/>
      <c r="E94" s="274"/>
      <c r="F94" s="262" t="s">
        <v>280</v>
      </c>
      <c r="G94" s="264"/>
      <c r="H94" s="2024">
        <f>체육시설부!H21</f>
        <v>819357</v>
      </c>
      <c r="I94" s="2038">
        <v>767007</v>
      </c>
      <c r="J94" s="265">
        <f t="shared" si="1"/>
        <v>52350</v>
      </c>
    </row>
    <row r="95" spans="1:10" ht="18" customHeight="1">
      <c r="A95" s="193"/>
      <c r="B95" s="194"/>
      <c r="C95" s="276"/>
      <c r="D95" s="277"/>
      <c r="E95" s="276"/>
      <c r="F95" s="278"/>
      <c r="G95" s="279" t="s">
        <v>281</v>
      </c>
      <c r="H95" s="2025">
        <f>체육시설부!H22</f>
        <v>19642</v>
      </c>
      <c r="I95" s="2039">
        <v>21658</v>
      </c>
      <c r="J95" s="265">
        <f t="shared" si="1"/>
        <v>-2016</v>
      </c>
    </row>
    <row r="96" spans="1:10" ht="18" customHeight="1">
      <c r="A96" s="193"/>
      <c r="B96" s="194"/>
      <c r="C96" s="276"/>
      <c r="D96" s="277"/>
      <c r="E96" s="276"/>
      <c r="F96" s="278"/>
      <c r="G96" s="279" t="s">
        <v>301</v>
      </c>
      <c r="H96" s="2025">
        <f>체육시설부!H35</f>
        <v>750</v>
      </c>
      <c r="I96" s="2039">
        <v>0</v>
      </c>
      <c r="J96" s="265">
        <f t="shared" si="1"/>
        <v>750</v>
      </c>
    </row>
    <row r="97" spans="1:10" ht="18" customHeight="1">
      <c r="A97" s="193"/>
      <c r="B97" s="194"/>
      <c r="C97" s="276"/>
      <c r="D97" s="277"/>
      <c r="E97" s="276"/>
      <c r="F97" s="278"/>
      <c r="G97" s="279" t="s">
        <v>282</v>
      </c>
      <c r="H97" s="2025">
        <f>체육시설부!H37</f>
        <v>131444</v>
      </c>
      <c r="I97" s="2039">
        <v>123460</v>
      </c>
      <c r="J97" s="265">
        <f t="shared" si="1"/>
        <v>7984</v>
      </c>
    </row>
    <row r="98" spans="1:10" ht="18" customHeight="1">
      <c r="A98" s="193"/>
      <c r="B98" s="194"/>
      <c r="C98" s="276"/>
      <c r="D98" s="277"/>
      <c r="E98" s="276"/>
      <c r="F98" s="278"/>
      <c r="G98" s="279" t="s">
        <v>283</v>
      </c>
      <c r="H98" s="2025">
        <f>체육시설부!H62</f>
        <v>10248</v>
      </c>
      <c r="I98" s="2039">
        <v>14808</v>
      </c>
      <c r="J98" s="265">
        <f t="shared" si="1"/>
        <v>-4560</v>
      </c>
    </row>
    <row r="99" spans="1:10" ht="18" customHeight="1">
      <c r="A99" s="193"/>
      <c r="B99" s="194"/>
      <c r="C99" s="276"/>
      <c r="D99" s="277"/>
      <c r="E99" s="276"/>
      <c r="F99" s="278"/>
      <c r="G99" s="279" t="s">
        <v>284</v>
      </c>
      <c r="H99" s="2025">
        <f>체육시설부!H66</f>
        <v>40594</v>
      </c>
      <c r="I99" s="2039">
        <v>33806</v>
      </c>
      <c r="J99" s="265">
        <f t="shared" si="1"/>
        <v>6788</v>
      </c>
    </row>
    <row r="100" spans="1:10" ht="18" customHeight="1">
      <c r="A100" s="193"/>
      <c r="B100" s="194"/>
      <c r="C100" s="276"/>
      <c r="D100" s="277"/>
      <c r="E100" s="276"/>
      <c r="F100" s="278"/>
      <c r="G100" s="279" t="s">
        <v>2257</v>
      </c>
      <c r="H100" s="2025">
        <f>체육시설부!H72</f>
        <v>616679</v>
      </c>
      <c r="I100" s="2039">
        <v>573275</v>
      </c>
      <c r="J100" s="265">
        <f t="shared" si="1"/>
        <v>43404</v>
      </c>
    </row>
    <row r="101" spans="1:10" ht="18" customHeight="1">
      <c r="A101" s="266"/>
      <c r="B101" s="272"/>
      <c r="C101" s="274"/>
      <c r="D101" s="273"/>
      <c r="E101" s="274"/>
      <c r="F101" s="262" t="s">
        <v>286</v>
      </c>
      <c r="G101" s="264"/>
      <c r="H101" s="2024">
        <f>체육시설부!H82</f>
        <v>33000</v>
      </c>
      <c r="I101" s="2038">
        <v>23580</v>
      </c>
      <c r="J101" s="265">
        <f t="shared" si="1"/>
        <v>9420</v>
      </c>
    </row>
    <row r="102" spans="1:10" ht="18" customHeight="1">
      <c r="A102" s="193"/>
      <c r="B102" s="194"/>
      <c r="C102" s="276"/>
      <c r="D102" s="277"/>
      <c r="E102" s="276"/>
      <c r="F102" s="278"/>
      <c r="G102" s="279" t="s">
        <v>287</v>
      </c>
      <c r="H102" s="2025">
        <f>체육시설부!H83</f>
        <v>33000</v>
      </c>
      <c r="I102" s="2039">
        <v>23580</v>
      </c>
      <c r="J102" s="265">
        <f t="shared" si="1"/>
        <v>9420</v>
      </c>
    </row>
    <row r="103" spans="1:10" ht="18" customHeight="1">
      <c r="A103" s="193"/>
      <c r="B103" s="194"/>
      <c r="C103" s="276"/>
      <c r="D103" s="277"/>
      <c r="E103" s="276"/>
      <c r="F103" s="294" t="s">
        <v>288</v>
      </c>
      <c r="G103" s="282"/>
      <c r="H103" s="2024">
        <f>체육시설부!H86</f>
        <v>30000</v>
      </c>
      <c r="I103" s="2038">
        <v>0</v>
      </c>
      <c r="J103" s="265">
        <f t="shared" si="1"/>
        <v>30000</v>
      </c>
    </row>
    <row r="104" spans="1:10" ht="18" customHeight="1">
      <c r="A104" s="193"/>
      <c r="B104" s="194"/>
      <c r="C104" s="276"/>
      <c r="D104" s="277"/>
      <c r="E104" s="276"/>
      <c r="F104" s="295"/>
      <c r="G104" s="278" t="s">
        <v>289</v>
      </c>
      <c r="H104" s="2025">
        <f>체육시설부!H87</f>
        <v>30000</v>
      </c>
      <c r="I104" s="2039">
        <v>0</v>
      </c>
      <c r="J104" s="265">
        <f t="shared" si="1"/>
        <v>30000</v>
      </c>
    </row>
    <row r="105" spans="1:10" ht="18" customHeight="1">
      <c r="A105" s="266"/>
      <c r="B105" s="272"/>
      <c r="C105" s="274"/>
      <c r="D105" s="273"/>
      <c r="E105" s="274"/>
      <c r="F105" s="262" t="s">
        <v>290</v>
      </c>
      <c r="G105" s="264"/>
      <c r="H105" s="2024">
        <f>체육시설부!H89</f>
        <v>15900</v>
      </c>
      <c r="I105" s="2038">
        <v>11700</v>
      </c>
      <c r="J105" s="265">
        <f t="shared" si="1"/>
        <v>4200</v>
      </c>
    </row>
    <row r="106" spans="1:10" ht="18" customHeight="1">
      <c r="A106" s="193"/>
      <c r="B106" s="194"/>
      <c r="C106" s="276"/>
      <c r="D106" s="277"/>
      <c r="E106" s="276"/>
      <c r="F106" s="278"/>
      <c r="G106" s="279" t="s">
        <v>291</v>
      </c>
      <c r="H106" s="2025">
        <f>체육시설부!H90</f>
        <v>15900</v>
      </c>
      <c r="I106" s="2039">
        <v>11700</v>
      </c>
      <c r="J106" s="265">
        <f t="shared" si="1"/>
        <v>4200</v>
      </c>
    </row>
    <row r="107" spans="1:10" ht="18" customHeight="1">
      <c r="A107" s="193"/>
      <c r="B107" s="194"/>
      <c r="C107" s="276"/>
      <c r="D107" s="277"/>
      <c r="E107" s="276"/>
      <c r="F107" s="288" t="s">
        <v>308</v>
      </c>
      <c r="G107" s="282"/>
      <c r="H107" s="2024">
        <f>체육시설부!H97</f>
        <v>5920</v>
      </c>
      <c r="I107" s="2038">
        <v>0</v>
      </c>
      <c r="J107" s="265">
        <f t="shared" si="1"/>
        <v>5920</v>
      </c>
    </row>
    <row r="108" spans="1:10" ht="18" customHeight="1">
      <c r="A108" s="193"/>
      <c r="B108" s="194"/>
      <c r="C108" s="276"/>
      <c r="D108" s="277"/>
      <c r="E108" s="280"/>
      <c r="F108" s="289"/>
      <c r="G108" s="278" t="s">
        <v>309</v>
      </c>
      <c r="H108" s="2025">
        <f>체육시설부!H98</f>
        <v>5920</v>
      </c>
      <c r="I108" s="2039">
        <v>0</v>
      </c>
      <c r="J108" s="265">
        <f t="shared" si="1"/>
        <v>5920</v>
      </c>
    </row>
    <row r="109" spans="1:10" ht="18" customHeight="1">
      <c r="A109" s="266"/>
      <c r="B109" s="272"/>
      <c r="C109" s="274"/>
      <c r="D109" s="273"/>
      <c r="E109" s="262" t="s">
        <v>310</v>
      </c>
      <c r="F109" s="263"/>
      <c r="G109" s="264"/>
      <c r="H109" s="2024">
        <f>H110+H113</f>
        <v>100354</v>
      </c>
      <c r="I109" s="2038">
        <v>54854</v>
      </c>
      <c r="J109" s="265">
        <f t="shared" si="1"/>
        <v>45500</v>
      </c>
    </row>
    <row r="110" spans="1:10" ht="18" customHeight="1">
      <c r="A110" s="266"/>
      <c r="B110" s="272"/>
      <c r="C110" s="274"/>
      <c r="D110" s="273"/>
      <c r="E110" s="275"/>
      <c r="F110" s="262" t="s">
        <v>311</v>
      </c>
      <c r="G110" s="264"/>
      <c r="H110" s="2024">
        <f>체육시설부!H102</f>
        <v>10354</v>
      </c>
      <c r="I110" s="2038">
        <v>10354</v>
      </c>
      <c r="J110" s="265">
        <f t="shared" si="1"/>
        <v>0</v>
      </c>
    </row>
    <row r="111" spans="1:10" ht="18" customHeight="1">
      <c r="A111" s="193"/>
      <c r="B111" s="194"/>
      <c r="C111" s="276"/>
      <c r="D111" s="277"/>
      <c r="E111" s="276"/>
      <c r="F111" s="278"/>
      <c r="G111" s="279" t="s">
        <v>312</v>
      </c>
      <c r="H111" s="2025">
        <f>체육시설부!H103</f>
        <v>1000</v>
      </c>
      <c r="I111" s="2039">
        <v>1000</v>
      </c>
      <c r="J111" s="265">
        <f t="shared" si="1"/>
        <v>0</v>
      </c>
    </row>
    <row r="112" spans="1:10" ht="18" customHeight="1">
      <c r="A112" s="193"/>
      <c r="B112" s="194"/>
      <c r="C112" s="276"/>
      <c r="D112" s="277"/>
      <c r="E112" s="276"/>
      <c r="F112" s="278"/>
      <c r="G112" s="279" t="s">
        <v>313</v>
      </c>
      <c r="H112" s="2025">
        <f>체육시설부!H105</f>
        <v>9354</v>
      </c>
      <c r="I112" s="2039">
        <v>9354</v>
      </c>
      <c r="J112" s="265">
        <f t="shared" si="1"/>
        <v>0</v>
      </c>
    </row>
    <row r="113" spans="1:10" ht="18" customHeight="1">
      <c r="A113" s="266"/>
      <c r="B113" s="272"/>
      <c r="C113" s="274"/>
      <c r="D113" s="274"/>
      <c r="E113" s="274"/>
      <c r="F113" s="262" t="s">
        <v>294</v>
      </c>
      <c r="G113" s="264"/>
      <c r="H113" s="2024">
        <f>체육시설부!H107</f>
        <v>90000</v>
      </c>
      <c r="I113" s="2038">
        <v>44500</v>
      </c>
      <c r="J113" s="265">
        <f t="shared" si="1"/>
        <v>45500</v>
      </c>
    </row>
    <row r="114" spans="1:10" ht="18" customHeight="1">
      <c r="A114" s="193"/>
      <c r="B114" s="194"/>
      <c r="C114" s="276"/>
      <c r="D114" s="276"/>
      <c r="E114" s="280"/>
      <c r="F114" s="2048"/>
      <c r="G114" s="282" t="s">
        <v>295</v>
      </c>
      <c r="H114" s="2025">
        <f>체육시설부!H108</f>
        <v>90000</v>
      </c>
      <c r="I114" s="2039">
        <v>44500</v>
      </c>
      <c r="J114" s="265">
        <f t="shared" si="1"/>
        <v>45500</v>
      </c>
    </row>
    <row r="115" spans="1:10" ht="18" customHeight="1">
      <c r="A115" s="266"/>
      <c r="B115" s="272"/>
      <c r="C115" s="273"/>
      <c r="D115" s="262" t="s">
        <v>314</v>
      </c>
      <c r="E115" s="263"/>
      <c r="F115" s="263"/>
      <c r="G115" s="264"/>
      <c r="H115" s="2023">
        <f>H116+H126</f>
        <v>778370</v>
      </c>
      <c r="I115" s="2037">
        <v>747817</v>
      </c>
      <c r="J115" s="265">
        <f t="shared" si="1"/>
        <v>30553</v>
      </c>
    </row>
    <row r="116" spans="1:10" ht="18" customHeight="1">
      <c r="A116" s="266"/>
      <c r="B116" s="272"/>
      <c r="C116" s="274"/>
      <c r="D116" s="274"/>
      <c r="E116" s="262" t="s">
        <v>315</v>
      </c>
      <c r="F116" s="263"/>
      <c r="G116" s="264"/>
      <c r="H116" s="2024">
        <f>H117+H119</f>
        <v>703210</v>
      </c>
      <c r="I116" s="2038">
        <v>677961</v>
      </c>
      <c r="J116" s="265">
        <f t="shared" si="1"/>
        <v>25249</v>
      </c>
    </row>
    <row r="117" spans="1:10" ht="18" customHeight="1">
      <c r="A117" s="266"/>
      <c r="B117" s="272"/>
      <c r="C117" s="274"/>
      <c r="D117" s="273"/>
      <c r="E117" s="275"/>
      <c r="F117" s="262" t="s">
        <v>278</v>
      </c>
      <c r="G117" s="264"/>
      <c r="H117" s="2024">
        <f>체육시설부!H114</f>
        <v>129619</v>
      </c>
      <c r="I117" s="2038">
        <v>126328</v>
      </c>
      <c r="J117" s="265">
        <f t="shared" si="1"/>
        <v>3291</v>
      </c>
    </row>
    <row r="118" spans="1:10" ht="18" customHeight="1">
      <c r="A118" s="193"/>
      <c r="B118" s="194"/>
      <c r="C118" s="276"/>
      <c r="D118" s="277"/>
      <c r="E118" s="276"/>
      <c r="F118" s="278"/>
      <c r="G118" s="279" t="s">
        <v>279</v>
      </c>
      <c r="H118" s="2025">
        <f>체육시설부!H115</f>
        <v>129619</v>
      </c>
      <c r="I118" s="2039">
        <v>126328</v>
      </c>
      <c r="J118" s="265">
        <f t="shared" si="1"/>
        <v>3291</v>
      </c>
    </row>
    <row r="119" spans="1:10" ht="18" customHeight="1">
      <c r="A119" s="266"/>
      <c r="B119" s="272"/>
      <c r="C119" s="274"/>
      <c r="D119" s="273"/>
      <c r="E119" s="274"/>
      <c r="F119" s="262" t="s">
        <v>280</v>
      </c>
      <c r="G119" s="264"/>
      <c r="H119" s="2024">
        <f>체육시설부!H125</f>
        <v>573591</v>
      </c>
      <c r="I119" s="2038">
        <v>551633</v>
      </c>
      <c r="J119" s="265">
        <f t="shared" si="1"/>
        <v>21958</v>
      </c>
    </row>
    <row r="120" spans="1:10" ht="18" customHeight="1">
      <c r="A120" s="193"/>
      <c r="B120" s="194"/>
      <c r="C120" s="276"/>
      <c r="D120" s="277"/>
      <c r="E120" s="277"/>
      <c r="F120" s="278"/>
      <c r="G120" s="282" t="s">
        <v>281</v>
      </c>
      <c r="H120" s="2025">
        <f>체육시설부!H126</f>
        <v>21460</v>
      </c>
      <c r="I120" s="2039">
        <v>23560</v>
      </c>
      <c r="J120" s="265">
        <f t="shared" si="1"/>
        <v>-2100</v>
      </c>
    </row>
    <row r="121" spans="1:10" ht="18" customHeight="1">
      <c r="A121" s="193"/>
      <c r="B121" s="194"/>
      <c r="C121" s="276"/>
      <c r="D121" s="277"/>
      <c r="E121" s="277"/>
      <c r="F121" s="278"/>
      <c r="G121" s="282" t="s">
        <v>301</v>
      </c>
      <c r="H121" s="2025">
        <f>체육시설부!H140</f>
        <v>400</v>
      </c>
      <c r="I121" s="2039">
        <v>0</v>
      </c>
      <c r="J121" s="265">
        <f t="shared" si="1"/>
        <v>400</v>
      </c>
    </row>
    <row r="122" spans="1:10" ht="18" customHeight="1">
      <c r="A122" s="193"/>
      <c r="B122" s="194"/>
      <c r="C122" s="276"/>
      <c r="D122" s="277"/>
      <c r="E122" s="277"/>
      <c r="F122" s="278"/>
      <c r="G122" s="282" t="s">
        <v>282</v>
      </c>
      <c r="H122" s="2025">
        <f>체육시설부!H142</f>
        <v>62010</v>
      </c>
      <c r="I122" s="2039">
        <v>55360</v>
      </c>
      <c r="J122" s="265">
        <f t="shared" si="1"/>
        <v>6650</v>
      </c>
    </row>
    <row r="123" spans="1:10" ht="18" customHeight="1">
      <c r="A123" s="193"/>
      <c r="B123" s="194"/>
      <c r="C123" s="276"/>
      <c r="D123" s="277"/>
      <c r="E123" s="277"/>
      <c r="F123" s="278"/>
      <c r="G123" s="282" t="s">
        <v>283</v>
      </c>
      <c r="H123" s="2025">
        <f>체육시설부!H160</f>
        <v>7728</v>
      </c>
      <c r="I123" s="2039">
        <v>14904</v>
      </c>
      <c r="J123" s="265">
        <f t="shared" si="1"/>
        <v>-7176</v>
      </c>
    </row>
    <row r="124" spans="1:10" ht="18" customHeight="1">
      <c r="A124" s="193"/>
      <c r="B124" s="194"/>
      <c r="C124" s="276"/>
      <c r="D124" s="277"/>
      <c r="E124" s="277"/>
      <c r="F124" s="278"/>
      <c r="G124" s="282" t="s">
        <v>284</v>
      </c>
      <c r="H124" s="2025">
        <f>체육시설부!H163</f>
        <v>6840</v>
      </c>
      <c r="I124" s="2039">
        <v>6860</v>
      </c>
      <c r="J124" s="265">
        <f t="shared" si="1"/>
        <v>-20</v>
      </c>
    </row>
    <row r="125" spans="1:10" ht="18" customHeight="1">
      <c r="A125" s="193"/>
      <c r="B125" s="194"/>
      <c r="C125" s="276"/>
      <c r="D125" s="277"/>
      <c r="E125" s="277"/>
      <c r="F125" s="278"/>
      <c r="G125" s="282" t="s">
        <v>2257</v>
      </c>
      <c r="H125" s="2025">
        <f>체육시설부!H166</f>
        <v>475153</v>
      </c>
      <c r="I125" s="2039">
        <v>450949</v>
      </c>
      <c r="J125" s="265">
        <f t="shared" si="1"/>
        <v>24204</v>
      </c>
    </row>
    <row r="126" spans="1:10" ht="18" customHeight="1">
      <c r="A126" s="266"/>
      <c r="B126" s="272"/>
      <c r="C126" s="274"/>
      <c r="D126" s="273"/>
      <c r="E126" s="262" t="s">
        <v>316</v>
      </c>
      <c r="F126" s="263"/>
      <c r="G126" s="264"/>
      <c r="H126" s="2024">
        <f>H127+H130</f>
        <v>75160</v>
      </c>
      <c r="I126" s="2038">
        <v>69856</v>
      </c>
      <c r="J126" s="265">
        <f t="shared" si="1"/>
        <v>5304</v>
      </c>
    </row>
    <row r="127" spans="1:10" ht="18" customHeight="1">
      <c r="A127" s="266"/>
      <c r="B127" s="272"/>
      <c r="C127" s="274"/>
      <c r="D127" s="273"/>
      <c r="E127" s="275"/>
      <c r="F127" s="262" t="s">
        <v>311</v>
      </c>
      <c r="G127" s="264"/>
      <c r="H127" s="2024">
        <f>체육시설부!H177</f>
        <v>5660</v>
      </c>
      <c r="I127" s="2038">
        <v>5656</v>
      </c>
      <c r="J127" s="265">
        <f t="shared" si="1"/>
        <v>4</v>
      </c>
    </row>
    <row r="128" spans="1:10" ht="18" customHeight="1">
      <c r="A128" s="193"/>
      <c r="B128" s="194"/>
      <c r="C128" s="276"/>
      <c r="D128" s="277"/>
      <c r="E128" s="276"/>
      <c r="F128" s="278"/>
      <c r="G128" s="279" t="s">
        <v>312</v>
      </c>
      <c r="H128" s="2025">
        <f>체육시설부!H178</f>
        <v>500</v>
      </c>
      <c r="I128" s="2039">
        <v>500</v>
      </c>
      <c r="J128" s="265">
        <f t="shared" si="1"/>
        <v>0</v>
      </c>
    </row>
    <row r="129" spans="1:10" ht="18" customHeight="1">
      <c r="A129" s="193"/>
      <c r="B129" s="194"/>
      <c r="C129" s="276"/>
      <c r="D129" s="277"/>
      <c r="E129" s="276"/>
      <c r="F129" s="278"/>
      <c r="G129" s="279" t="s">
        <v>313</v>
      </c>
      <c r="H129" s="2025">
        <f>체육시설부!H180</f>
        <v>5160</v>
      </c>
      <c r="I129" s="2039">
        <v>5156</v>
      </c>
      <c r="J129" s="265">
        <f t="shared" si="1"/>
        <v>4</v>
      </c>
    </row>
    <row r="130" spans="1:10" ht="18" customHeight="1">
      <c r="A130" s="266"/>
      <c r="B130" s="272"/>
      <c r="C130" s="274"/>
      <c r="D130" s="274"/>
      <c r="E130" s="274"/>
      <c r="F130" s="262" t="s">
        <v>294</v>
      </c>
      <c r="G130" s="264"/>
      <c r="H130" s="2024">
        <f>체육시설부!H182</f>
        <v>69500</v>
      </c>
      <c r="I130" s="2038">
        <v>64200</v>
      </c>
      <c r="J130" s="265">
        <f t="shared" si="1"/>
        <v>5300</v>
      </c>
    </row>
    <row r="131" spans="1:10" ht="18" customHeight="1">
      <c r="A131" s="193"/>
      <c r="B131" s="194"/>
      <c r="C131" s="276"/>
      <c r="D131" s="276"/>
      <c r="E131" s="280"/>
      <c r="F131" s="2048"/>
      <c r="G131" s="282" t="s">
        <v>295</v>
      </c>
      <c r="H131" s="2025">
        <f>체육시설부!H183</f>
        <v>69500</v>
      </c>
      <c r="I131" s="2039">
        <v>64200</v>
      </c>
      <c r="J131" s="265">
        <f t="shared" si="1"/>
        <v>5300</v>
      </c>
    </row>
    <row r="132" spans="1:10" ht="18" customHeight="1">
      <c r="A132" s="266"/>
      <c r="B132" s="272"/>
      <c r="C132" s="273"/>
      <c r="D132" s="262" t="s">
        <v>317</v>
      </c>
      <c r="E132" s="263"/>
      <c r="F132" s="263"/>
      <c r="G132" s="264"/>
      <c r="H132" s="2023">
        <f>H133+H141</f>
        <v>231930</v>
      </c>
      <c r="I132" s="2037">
        <v>225039</v>
      </c>
      <c r="J132" s="265">
        <f t="shared" si="1"/>
        <v>6891</v>
      </c>
    </row>
    <row r="133" spans="1:10" ht="18" customHeight="1">
      <c r="A133" s="266"/>
      <c r="B133" s="272"/>
      <c r="C133" s="274"/>
      <c r="D133" s="274"/>
      <c r="E133" s="262" t="s">
        <v>318</v>
      </c>
      <c r="F133" s="263"/>
      <c r="G133" s="264"/>
      <c r="H133" s="2024">
        <f>H134</f>
        <v>189020</v>
      </c>
      <c r="I133" s="2038">
        <v>190795</v>
      </c>
      <c r="J133" s="265">
        <f t="shared" si="1"/>
        <v>-1775</v>
      </c>
    </row>
    <row r="134" spans="1:10" ht="18" customHeight="1">
      <c r="A134" s="266"/>
      <c r="B134" s="272"/>
      <c r="C134" s="274"/>
      <c r="D134" s="273"/>
      <c r="E134" s="274"/>
      <c r="F134" s="262" t="s">
        <v>280</v>
      </c>
      <c r="G134" s="264"/>
      <c r="H134" s="2024">
        <f>체육시설부!H189</f>
        <v>189020</v>
      </c>
      <c r="I134" s="2038">
        <v>190795</v>
      </c>
      <c r="J134" s="265">
        <f t="shared" si="1"/>
        <v>-1775</v>
      </c>
    </row>
    <row r="135" spans="1:10" ht="18" customHeight="1">
      <c r="A135" s="193"/>
      <c r="B135" s="194"/>
      <c r="C135" s="276"/>
      <c r="D135" s="277"/>
      <c r="E135" s="277"/>
      <c r="F135" s="278"/>
      <c r="G135" s="282" t="s">
        <v>281</v>
      </c>
      <c r="H135" s="2025">
        <f>체육시설부!H190</f>
        <v>17462</v>
      </c>
      <c r="I135" s="2039">
        <v>17972</v>
      </c>
      <c r="J135" s="265">
        <f t="shared" si="1"/>
        <v>-510</v>
      </c>
    </row>
    <row r="136" spans="1:10" ht="18" customHeight="1">
      <c r="A136" s="193"/>
      <c r="B136" s="194"/>
      <c r="C136" s="276"/>
      <c r="D136" s="277"/>
      <c r="E136" s="277"/>
      <c r="F136" s="278"/>
      <c r="G136" s="282" t="s">
        <v>301</v>
      </c>
      <c r="H136" s="2025">
        <f>체육시설부!H201</f>
        <v>500</v>
      </c>
      <c r="I136" s="2039">
        <v>0</v>
      </c>
      <c r="J136" s="265">
        <f t="shared" ref="J136:J199" si="2">H136-I136</f>
        <v>500</v>
      </c>
    </row>
    <row r="137" spans="1:10" ht="18" customHeight="1">
      <c r="A137" s="193"/>
      <c r="B137" s="194"/>
      <c r="C137" s="276"/>
      <c r="D137" s="277"/>
      <c r="E137" s="277"/>
      <c r="F137" s="278"/>
      <c r="G137" s="282" t="s">
        <v>282</v>
      </c>
      <c r="H137" s="2025">
        <f>체육시설부!H203</f>
        <v>34220</v>
      </c>
      <c r="I137" s="2039">
        <v>32880</v>
      </c>
      <c r="J137" s="265">
        <f t="shared" si="2"/>
        <v>1340</v>
      </c>
    </row>
    <row r="138" spans="1:10" ht="18" customHeight="1">
      <c r="A138" s="193"/>
      <c r="B138" s="194"/>
      <c r="C138" s="276"/>
      <c r="D138" s="277"/>
      <c r="E138" s="277"/>
      <c r="F138" s="278"/>
      <c r="G138" s="282" t="s">
        <v>283</v>
      </c>
      <c r="H138" s="2025">
        <f>체육시설부!H217</f>
        <v>4320</v>
      </c>
      <c r="I138" s="2039">
        <v>6600</v>
      </c>
      <c r="J138" s="265">
        <f t="shared" si="2"/>
        <v>-2280</v>
      </c>
    </row>
    <row r="139" spans="1:10" ht="18" customHeight="1">
      <c r="A139" s="193"/>
      <c r="B139" s="194"/>
      <c r="C139" s="276"/>
      <c r="D139" s="277"/>
      <c r="E139" s="277"/>
      <c r="F139" s="278"/>
      <c r="G139" s="282" t="s">
        <v>284</v>
      </c>
      <c r="H139" s="2025">
        <f>체육시설부!H219</f>
        <v>0</v>
      </c>
      <c r="I139" s="2039">
        <v>500</v>
      </c>
      <c r="J139" s="265">
        <f t="shared" si="2"/>
        <v>-500</v>
      </c>
    </row>
    <row r="140" spans="1:10" ht="18" customHeight="1">
      <c r="A140" s="193"/>
      <c r="B140" s="194"/>
      <c r="C140" s="276"/>
      <c r="D140" s="277"/>
      <c r="E140" s="277"/>
      <c r="F140" s="278"/>
      <c r="G140" s="282" t="s">
        <v>2257</v>
      </c>
      <c r="H140" s="2025">
        <f>체육시설부!H221</f>
        <v>132518</v>
      </c>
      <c r="I140" s="2039">
        <v>132843</v>
      </c>
      <c r="J140" s="265">
        <f t="shared" si="2"/>
        <v>-325</v>
      </c>
    </row>
    <row r="141" spans="1:10" ht="18" customHeight="1">
      <c r="A141" s="266"/>
      <c r="B141" s="272"/>
      <c r="C141" s="274"/>
      <c r="D141" s="273"/>
      <c r="E141" s="262" t="s">
        <v>319</v>
      </c>
      <c r="F141" s="263"/>
      <c r="G141" s="264"/>
      <c r="H141" s="2024">
        <f>H142+H144</f>
        <v>42910</v>
      </c>
      <c r="I141" s="2038">
        <v>34244</v>
      </c>
      <c r="J141" s="265">
        <f t="shared" si="2"/>
        <v>8666</v>
      </c>
    </row>
    <row r="142" spans="1:10" ht="18" customHeight="1">
      <c r="A142" s="266"/>
      <c r="B142" s="272"/>
      <c r="C142" s="274"/>
      <c r="D142" s="273"/>
      <c r="E142" s="275"/>
      <c r="F142" s="262" t="s">
        <v>311</v>
      </c>
      <c r="G142" s="264"/>
      <c r="H142" s="2024">
        <f>체육시설부!H232</f>
        <v>2160</v>
      </c>
      <c r="I142" s="2038">
        <v>395</v>
      </c>
      <c r="J142" s="265">
        <f t="shared" si="2"/>
        <v>1765</v>
      </c>
    </row>
    <row r="143" spans="1:10" ht="18" customHeight="1">
      <c r="A143" s="193"/>
      <c r="B143" s="194"/>
      <c r="C143" s="276"/>
      <c r="D143" s="277"/>
      <c r="E143" s="276"/>
      <c r="F143" s="278"/>
      <c r="G143" s="279" t="s">
        <v>313</v>
      </c>
      <c r="H143" s="2025">
        <f>체육시설부!H233</f>
        <v>2160</v>
      </c>
      <c r="I143" s="2039">
        <v>395</v>
      </c>
      <c r="J143" s="265">
        <f t="shared" si="2"/>
        <v>1765</v>
      </c>
    </row>
    <row r="144" spans="1:10" ht="18" customHeight="1">
      <c r="A144" s="296"/>
      <c r="B144" s="272"/>
      <c r="C144" s="274"/>
      <c r="D144" s="274"/>
      <c r="E144" s="274"/>
      <c r="F144" s="262" t="s">
        <v>294</v>
      </c>
      <c r="G144" s="264"/>
      <c r="H144" s="2023">
        <f>체육시설부!H235</f>
        <v>40750</v>
      </c>
      <c r="I144" s="2037">
        <v>33849</v>
      </c>
      <c r="J144" s="265">
        <f t="shared" si="2"/>
        <v>6901</v>
      </c>
    </row>
    <row r="145" spans="1:10" ht="18" customHeight="1">
      <c r="A145" s="297"/>
      <c r="B145" s="194"/>
      <c r="C145" s="276"/>
      <c r="D145" s="280"/>
      <c r="E145" s="280"/>
      <c r="F145" s="2048"/>
      <c r="G145" s="2048" t="s">
        <v>295</v>
      </c>
      <c r="H145" s="2027">
        <f>체육시설부!H236</f>
        <v>40750</v>
      </c>
      <c r="I145" s="2041">
        <v>33849</v>
      </c>
      <c r="J145" s="265">
        <f t="shared" si="2"/>
        <v>6901</v>
      </c>
    </row>
    <row r="146" spans="1:10" ht="18" customHeight="1">
      <c r="A146" s="266"/>
      <c r="B146" s="272"/>
      <c r="C146" s="274"/>
      <c r="D146" s="262" t="s">
        <v>320</v>
      </c>
      <c r="E146" s="263"/>
      <c r="F146" s="263"/>
      <c r="G146" s="264"/>
      <c r="H146" s="2023">
        <f>H147+H157</f>
        <v>750000</v>
      </c>
      <c r="I146" s="2037">
        <v>0</v>
      </c>
      <c r="J146" s="265">
        <f t="shared" si="2"/>
        <v>750000</v>
      </c>
    </row>
    <row r="147" spans="1:10" ht="18" customHeight="1">
      <c r="A147" s="266"/>
      <c r="B147" s="272"/>
      <c r="C147" s="274"/>
      <c r="D147" s="274"/>
      <c r="E147" s="262" t="s">
        <v>321</v>
      </c>
      <c r="F147" s="263"/>
      <c r="G147" s="264"/>
      <c r="H147" s="2024">
        <f>H148+H150</f>
        <v>737800</v>
      </c>
      <c r="I147" s="2038">
        <v>0</v>
      </c>
      <c r="J147" s="265">
        <f t="shared" si="2"/>
        <v>737800</v>
      </c>
    </row>
    <row r="148" spans="1:10" ht="18" customHeight="1">
      <c r="A148" s="266"/>
      <c r="B148" s="272"/>
      <c r="C148" s="274"/>
      <c r="D148" s="273"/>
      <c r="E148" s="275"/>
      <c r="F148" s="262" t="s">
        <v>278</v>
      </c>
      <c r="G148" s="264"/>
      <c r="H148" s="2024">
        <f>체육시설부!H244</f>
        <v>378953</v>
      </c>
      <c r="I148" s="2038">
        <v>0</v>
      </c>
      <c r="J148" s="265">
        <f t="shared" si="2"/>
        <v>378953</v>
      </c>
    </row>
    <row r="149" spans="1:10" ht="18" customHeight="1">
      <c r="A149" s="193"/>
      <c r="B149" s="194"/>
      <c r="C149" s="276"/>
      <c r="D149" s="277"/>
      <c r="E149" s="276"/>
      <c r="F149" s="278"/>
      <c r="G149" s="279" t="s">
        <v>279</v>
      </c>
      <c r="H149" s="2025">
        <f>체육시설부!H245</f>
        <v>378953</v>
      </c>
      <c r="I149" s="2039">
        <v>0</v>
      </c>
      <c r="J149" s="265">
        <f t="shared" si="2"/>
        <v>378953</v>
      </c>
    </row>
    <row r="150" spans="1:10" ht="18" customHeight="1">
      <c r="A150" s="266"/>
      <c r="B150" s="272"/>
      <c r="C150" s="274"/>
      <c r="D150" s="273"/>
      <c r="E150" s="274"/>
      <c r="F150" s="262" t="s">
        <v>280</v>
      </c>
      <c r="G150" s="264"/>
      <c r="H150" s="2024">
        <f>체육시설부!H275</f>
        <v>358847</v>
      </c>
      <c r="I150" s="2038">
        <v>0</v>
      </c>
      <c r="J150" s="265">
        <f t="shared" si="2"/>
        <v>358847</v>
      </c>
    </row>
    <row r="151" spans="1:10" ht="18" customHeight="1">
      <c r="A151" s="193"/>
      <c r="B151" s="194"/>
      <c r="C151" s="276"/>
      <c r="D151" s="277"/>
      <c r="E151" s="277"/>
      <c r="F151" s="278"/>
      <c r="G151" s="282" t="s">
        <v>281</v>
      </c>
      <c r="H151" s="2025">
        <f>체육시설부!H276</f>
        <v>16346</v>
      </c>
      <c r="I151" s="2039">
        <v>0</v>
      </c>
      <c r="J151" s="265">
        <f t="shared" si="2"/>
        <v>16346</v>
      </c>
    </row>
    <row r="152" spans="1:10" ht="18" customHeight="1">
      <c r="A152" s="193"/>
      <c r="B152" s="194"/>
      <c r="C152" s="276"/>
      <c r="D152" s="277"/>
      <c r="E152" s="277"/>
      <c r="F152" s="278"/>
      <c r="G152" s="282" t="s">
        <v>301</v>
      </c>
      <c r="H152" s="2025">
        <f>체육시설부!H289</f>
        <v>600</v>
      </c>
      <c r="I152" s="2039">
        <v>0</v>
      </c>
      <c r="J152" s="265">
        <f t="shared" si="2"/>
        <v>600</v>
      </c>
    </row>
    <row r="153" spans="1:10" ht="18" customHeight="1">
      <c r="A153" s="193"/>
      <c r="B153" s="194"/>
      <c r="C153" s="276"/>
      <c r="D153" s="277"/>
      <c r="E153" s="277"/>
      <c r="F153" s="278"/>
      <c r="G153" s="282" t="s">
        <v>282</v>
      </c>
      <c r="H153" s="2025">
        <f>체육시설부!H291</f>
        <v>90910</v>
      </c>
      <c r="I153" s="2039">
        <v>0</v>
      </c>
      <c r="J153" s="265">
        <f t="shared" si="2"/>
        <v>90910</v>
      </c>
    </row>
    <row r="154" spans="1:10" ht="18" customHeight="1">
      <c r="A154" s="193"/>
      <c r="B154" s="194"/>
      <c r="C154" s="276"/>
      <c r="D154" s="277"/>
      <c r="E154" s="277"/>
      <c r="F154" s="278"/>
      <c r="G154" s="282" t="s">
        <v>283</v>
      </c>
      <c r="H154" s="2025">
        <f>체육시설부!H307</f>
        <v>7632</v>
      </c>
      <c r="I154" s="2039">
        <v>0</v>
      </c>
      <c r="J154" s="265">
        <f t="shared" si="2"/>
        <v>7632</v>
      </c>
    </row>
    <row r="155" spans="1:10" ht="18" customHeight="1">
      <c r="A155" s="193"/>
      <c r="B155" s="194"/>
      <c r="C155" s="276"/>
      <c r="D155" s="277"/>
      <c r="E155" s="277"/>
      <c r="F155" s="278"/>
      <c r="G155" s="282" t="s">
        <v>284</v>
      </c>
      <c r="H155" s="2025">
        <f>체육시설부!H310</f>
        <v>2700</v>
      </c>
      <c r="I155" s="2039">
        <v>0</v>
      </c>
      <c r="J155" s="265">
        <f t="shared" si="2"/>
        <v>2700</v>
      </c>
    </row>
    <row r="156" spans="1:10" ht="18" customHeight="1">
      <c r="A156" s="193"/>
      <c r="B156" s="194"/>
      <c r="C156" s="276"/>
      <c r="D156" s="277"/>
      <c r="E156" s="277"/>
      <c r="F156" s="278"/>
      <c r="G156" s="282" t="s">
        <v>2257</v>
      </c>
      <c r="H156" s="2025">
        <f>체육시설부!H313</f>
        <v>240659</v>
      </c>
      <c r="I156" s="2039">
        <v>0</v>
      </c>
      <c r="J156" s="265">
        <f t="shared" si="2"/>
        <v>240659</v>
      </c>
    </row>
    <row r="157" spans="1:10" ht="18" customHeight="1">
      <c r="A157" s="266"/>
      <c r="B157" s="272"/>
      <c r="C157" s="274"/>
      <c r="D157" s="273"/>
      <c r="E157" s="262" t="s">
        <v>322</v>
      </c>
      <c r="F157" s="263"/>
      <c r="G157" s="264"/>
      <c r="H157" s="2024">
        <f>H158+H161</f>
        <v>12200</v>
      </c>
      <c r="I157" s="2038">
        <v>0</v>
      </c>
      <c r="J157" s="265">
        <f t="shared" si="2"/>
        <v>12200</v>
      </c>
    </row>
    <row r="158" spans="1:10" ht="18" customHeight="1">
      <c r="A158" s="266"/>
      <c r="B158" s="272"/>
      <c r="C158" s="274"/>
      <c r="D158" s="273"/>
      <c r="E158" s="275"/>
      <c r="F158" s="262" t="s">
        <v>311</v>
      </c>
      <c r="G158" s="264"/>
      <c r="H158" s="2024">
        <f>체육시설부!H325</f>
        <v>3800</v>
      </c>
      <c r="I158" s="2038">
        <v>0</v>
      </c>
      <c r="J158" s="265">
        <f t="shared" si="2"/>
        <v>3800</v>
      </c>
    </row>
    <row r="159" spans="1:10" ht="18" customHeight="1">
      <c r="A159" s="193"/>
      <c r="B159" s="194"/>
      <c r="C159" s="276"/>
      <c r="D159" s="277"/>
      <c r="E159" s="276"/>
      <c r="F159" s="278"/>
      <c r="G159" s="279" t="s">
        <v>312</v>
      </c>
      <c r="H159" s="2025">
        <f>체육시설부!H326</f>
        <v>500</v>
      </c>
      <c r="I159" s="2039">
        <v>0</v>
      </c>
      <c r="J159" s="265">
        <f t="shared" si="2"/>
        <v>500</v>
      </c>
    </row>
    <row r="160" spans="1:10" ht="18" customHeight="1">
      <c r="A160" s="193"/>
      <c r="B160" s="194"/>
      <c r="C160" s="276"/>
      <c r="D160" s="277"/>
      <c r="E160" s="276"/>
      <c r="F160" s="278"/>
      <c r="G160" s="279" t="s">
        <v>313</v>
      </c>
      <c r="H160" s="2025">
        <f>체육시설부!H328</f>
        <v>3300</v>
      </c>
      <c r="I160" s="2039">
        <v>0</v>
      </c>
      <c r="J160" s="265">
        <f t="shared" si="2"/>
        <v>3300</v>
      </c>
    </row>
    <row r="161" spans="1:10" ht="18" customHeight="1">
      <c r="A161" s="266"/>
      <c r="B161" s="272"/>
      <c r="C161" s="274"/>
      <c r="D161" s="274"/>
      <c r="E161" s="274"/>
      <c r="F161" s="262" t="s">
        <v>294</v>
      </c>
      <c r="G161" s="264"/>
      <c r="H161" s="2024">
        <f>체육시설부!H330</f>
        <v>8400</v>
      </c>
      <c r="I161" s="2038">
        <v>0</v>
      </c>
      <c r="J161" s="265">
        <f t="shared" si="2"/>
        <v>8400</v>
      </c>
    </row>
    <row r="162" spans="1:10" ht="18" customHeight="1">
      <c r="A162" s="193"/>
      <c r="B162" s="194"/>
      <c r="C162" s="276"/>
      <c r="D162" s="276"/>
      <c r="E162" s="280"/>
      <c r="F162" s="2048"/>
      <c r="G162" s="282" t="s">
        <v>295</v>
      </c>
      <c r="H162" s="2025">
        <f>체육시설부!H331</f>
        <v>8400</v>
      </c>
      <c r="I162" s="2039">
        <v>0</v>
      </c>
      <c r="J162" s="265">
        <f t="shared" si="2"/>
        <v>8400</v>
      </c>
    </row>
    <row r="163" spans="1:10" ht="18" customHeight="1">
      <c r="A163" s="266"/>
      <c r="B163" s="272"/>
      <c r="C163" s="298" t="s">
        <v>142</v>
      </c>
      <c r="D163" s="299"/>
      <c r="E163" s="299"/>
      <c r="F163" s="299"/>
      <c r="G163" s="300"/>
      <c r="H163" s="2028">
        <f>H164+H194+H209</f>
        <v>24461672</v>
      </c>
      <c r="I163" s="2042">
        <v>25241148</v>
      </c>
      <c r="J163" s="301">
        <f t="shared" si="2"/>
        <v>-779476</v>
      </c>
    </row>
    <row r="164" spans="1:10" ht="18" customHeight="1">
      <c r="A164" s="266"/>
      <c r="B164" s="272"/>
      <c r="C164" s="273"/>
      <c r="D164" s="262" t="s">
        <v>323</v>
      </c>
      <c r="E164" s="263"/>
      <c r="F164" s="263"/>
      <c r="G164" s="264"/>
      <c r="H164" s="2023">
        <f>H165+H182+H185+H189</f>
        <v>22547435</v>
      </c>
      <c r="I164" s="2037">
        <v>21539757</v>
      </c>
      <c r="J164" s="265">
        <f t="shared" si="2"/>
        <v>1007678</v>
      </c>
    </row>
    <row r="165" spans="1:10" ht="18" customHeight="1">
      <c r="A165" s="266"/>
      <c r="B165" s="272"/>
      <c r="C165" s="274"/>
      <c r="D165" s="275"/>
      <c r="E165" s="262" t="s">
        <v>324</v>
      </c>
      <c r="F165" s="263"/>
      <c r="G165" s="264"/>
      <c r="H165" s="2024">
        <f>H166+H169+H176+H178+H180</f>
        <v>21322034</v>
      </c>
      <c r="I165" s="2038">
        <v>20452402</v>
      </c>
      <c r="J165" s="265">
        <f t="shared" si="2"/>
        <v>869632</v>
      </c>
    </row>
    <row r="166" spans="1:10" ht="18" customHeight="1">
      <c r="A166" s="266"/>
      <c r="B166" s="272"/>
      <c r="C166" s="274"/>
      <c r="D166" s="273"/>
      <c r="E166" s="275"/>
      <c r="F166" s="262" t="s">
        <v>278</v>
      </c>
      <c r="G166" s="264"/>
      <c r="H166" s="2024">
        <f>도시미화부!H10</f>
        <v>19431579</v>
      </c>
      <c r="I166" s="2038">
        <v>18499480</v>
      </c>
      <c r="J166" s="265">
        <f t="shared" si="2"/>
        <v>932099</v>
      </c>
    </row>
    <row r="167" spans="1:10" ht="18" customHeight="1">
      <c r="A167" s="193"/>
      <c r="B167" s="194"/>
      <c r="C167" s="276"/>
      <c r="D167" s="277"/>
      <c r="E167" s="276"/>
      <c r="F167" s="278"/>
      <c r="G167" s="279" t="s">
        <v>325</v>
      </c>
      <c r="H167" s="2025">
        <f>도시미화부!H11</f>
        <v>19359385</v>
      </c>
      <c r="I167" s="2039">
        <v>18427286</v>
      </c>
      <c r="J167" s="2050">
        <f t="shared" si="2"/>
        <v>932099</v>
      </c>
    </row>
    <row r="168" spans="1:10" ht="18" customHeight="1">
      <c r="A168" s="193"/>
      <c r="B168" s="194"/>
      <c r="C168" s="276"/>
      <c r="D168" s="277"/>
      <c r="E168" s="276"/>
      <c r="F168" s="278"/>
      <c r="G168" s="279" t="s">
        <v>279</v>
      </c>
      <c r="H168" s="2025">
        <f>도시미화부!H65</f>
        <v>72194</v>
      </c>
      <c r="I168" s="2039">
        <v>72194</v>
      </c>
      <c r="J168" s="2050">
        <f t="shared" si="2"/>
        <v>0</v>
      </c>
    </row>
    <row r="169" spans="1:10" ht="18" customHeight="1">
      <c r="A169" s="266"/>
      <c r="B169" s="272"/>
      <c r="C169" s="274"/>
      <c r="D169" s="273"/>
      <c r="E169" s="274"/>
      <c r="F169" s="262" t="s">
        <v>280</v>
      </c>
      <c r="G169" s="264"/>
      <c r="H169" s="2024">
        <f>도시미화부!H70</f>
        <v>1829234</v>
      </c>
      <c r="I169" s="2038">
        <v>1905562</v>
      </c>
      <c r="J169" s="265">
        <f t="shared" si="2"/>
        <v>-76328</v>
      </c>
    </row>
    <row r="170" spans="1:10" ht="18" customHeight="1">
      <c r="A170" s="193"/>
      <c r="B170" s="194"/>
      <c r="C170" s="276"/>
      <c r="D170" s="277"/>
      <c r="E170" s="276"/>
      <c r="F170" s="278"/>
      <c r="G170" s="279" t="s">
        <v>281</v>
      </c>
      <c r="H170" s="2025">
        <f>도시미화부!H71</f>
        <v>38039</v>
      </c>
      <c r="I170" s="2039">
        <v>49295</v>
      </c>
      <c r="J170" s="2050">
        <f t="shared" si="2"/>
        <v>-11256</v>
      </c>
    </row>
    <row r="171" spans="1:10" ht="18" customHeight="1">
      <c r="A171" s="193"/>
      <c r="B171" s="194"/>
      <c r="C171" s="276"/>
      <c r="D171" s="277"/>
      <c r="E171" s="276"/>
      <c r="F171" s="278"/>
      <c r="G171" s="279" t="s">
        <v>301</v>
      </c>
      <c r="H171" s="2025">
        <f>도시미화부!H97</f>
        <v>400</v>
      </c>
      <c r="I171" s="2039">
        <v>400</v>
      </c>
      <c r="J171" s="2050">
        <f t="shared" si="2"/>
        <v>0</v>
      </c>
    </row>
    <row r="172" spans="1:10" ht="18" customHeight="1">
      <c r="A172" s="193"/>
      <c r="B172" s="194"/>
      <c r="C172" s="276"/>
      <c r="D172" s="277"/>
      <c r="E172" s="276"/>
      <c r="F172" s="278"/>
      <c r="G172" s="279" t="s">
        <v>282</v>
      </c>
      <c r="H172" s="2025">
        <f>도시미화부!H99</f>
        <v>164164</v>
      </c>
      <c r="I172" s="2039">
        <v>100778</v>
      </c>
      <c r="J172" s="2050">
        <f t="shared" si="2"/>
        <v>63386</v>
      </c>
    </row>
    <row r="173" spans="1:10" ht="18" customHeight="1">
      <c r="A173" s="193"/>
      <c r="B173" s="194"/>
      <c r="C173" s="276"/>
      <c r="D173" s="277"/>
      <c r="E173" s="276"/>
      <c r="F173" s="278"/>
      <c r="G173" s="279" t="s">
        <v>283</v>
      </c>
      <c r="H173" s="2025">
        <f>도시미화부!H107</f>
        <v>71620</v>
      </c>
      <c r="I173" s="2039">
        <v>74091</v>
      </c>
      <c r="J173" s="2050">
        <f t="shared" si="2"/>
        <v>-2471</v>
      </c>
    </row>
    <row r="174" spans="1:10" ht="18" customHeight="1">
      <c r="A174" s="193"/>
      <c r="B174" s="194"/>
      <c r="C174" s="276"/>
      <c r="D174" s="277"/>
      <c r="E174" s="276"/>
      <c r="F174" s="278"/>
      <c r="G174" s="279" t="s">
        <v>2257</v>
      </c>
      <c r="H174" s="2025">
        <f>도시미화부!H118</f>
        <v>273183</v>
      </c>
      <c r="I174" s="2039">
        <v>239797</v>
      </c>
      <c r="J174" s="2050">
        <f t="shared" si="2"/>
        <v>33386</v>
      </c>
    </row>
    <row r="175" spans="1:10" ht="18" customHeight="1">
      <c r="A175" s="193"/>
      <c r="B175" s="194"/>
      <c r="C175" s="276"/>
      <c r="D175" s="277"/>
      <c r="E175" s="276"/>
      <c r="F175" s="278"/>
      <c r="G175" s="279" t="s">
        <v>2259</v>
      </c>
      <c r="H175" s="2025">
        <f>도시미화부!H126</f>
        <v>1281828</v>
      </c>
      <c r="I175" s="2039">
        <v>1441201</v>
      </c>
      <c r="J175" s="2050">
        <f t="shared" si="2"/>
        <v>-159373</v>
      </c>
    </row>
    <row r="176" spans="1:10" ht="18" customHeight="1">
      <c r="A176" s="266"/>
      <c r="B176" s="272"/>
      <c r="C176" s="274"/>
      <c r="D176" s="273"/>
      <c r="E176" s="274"/>
      <c r="F176" s="262" t="s">
        <v>286</v>
      </c>
      <c r="G176" s="264"/>
      <c r="H176" s="2024">
        <f>도시미화부!H134</f>
        <v>26900</v>
      </c>
      <c r="I176" s="2038">
        <v>27620</v>
      </c>
      <c r="J176" s="265">
        <f t="shared" si="2"/>
        <v>-720</v>
      </c>
    </row>
    <row r="177" spans="1:10" ht="18" customHeight="1">
      <c r="A177" s="193"/>
      <c r="B177" s="194"/>
      <c r="C177" s="276"/>
      <c r="D177" s="277"/>
      <c r="E177" s="276"/>
      <c r="F177" s="278"/>
      <c r="G177" s="279" t="s">
        <v>287</v>
      </c>
      <c r="H177" s="2025">
        <f>도시미화부!H135</f>
        <v>26900</v>
      </c>
      <c r="I177" s="2039">
        <v>27620</v>
      </c>
      <c r="J177" s="2050">
        <f t="shared" si="2"/>
        <v>-720</v>
      </c>
    </row>
    <row r="178" spans="1:10" ht="18" customHeight="1">
      <c r="A178" s="193"/>
      <c r="B178" s="194"/>
      <c r="C178" s="276"/>
      <c r="D178" s="277"/>
      <c r="E178" s="276"/>
      <c r="F178" s="294" t="s">
        <v>288</v>
      </c>
      <c r="G178" s="282"/>
      <c r="H178" s="2024">
        <f>도시미화부!H143</f>
        <v>14521</v>
      </c>
      <c r="I178" s="2038">
        <v>0</v>
      </c>
      <c r="J178" s="265">
        <f t="shared" si="2"/>
        <v>14521</v>
      </c>
    </row>
    <row r="179" spans="1:10" ht="18" customHeight="1">
      <c r="A179" s="193"/>
      <c r="B179" s="194"/>
      <c r="C179" s="276"/>
      <c r="D179" s="277"/>
      <c r="E179" s="276"/>
      <c r="F179" s="295"/>
      <c r="G179" s="278" t="s">
        <v>326</v>
      </c>
      <c r="H179" s="2025">
        <f>도시미화부!H144</f>
        <v>14521</v>
      </c>
      <c r="I179" s="2039">
        <v>0</v>
      </c>
      <c r="J179" s="2050">
        <f t="shared" si="2"/>
        <v>14521</v>
      </c>
    </row>
    <row r="180" spans="1:10" ht="18" customHeight="1">
      <c r="A180" s="266"/>
      <c r="B180" s="272"/>
      <c r="C180" s="274"/>
      <c r="D180" s="273"/>
      <c r="E180" s="274"/>
      <c r="F180" s="262" t="s">
        <v>290</v>
      </c>
      <c r="G180" s="264"/>
      <c r="H180" s="2024">
        <f>도시미화부!H146</f>
        <v>19800</v>
      </c>
      <c r="I180" s="2038">
        <v>19740</v>
      </c>
      <c r="J180" s="265">
        <f t="shared" si="2"/>
        <v>60</v>
      </c>
    </row>
    <row r="181" spans="1:10" ht="18" customHeight="1">
      <c r="A181" s="193"/>
      <c r="B181" s="194"/>
      <c r="C181" s="276"/>
      <c r="D181" s="277"/>
      <c r="E181" s="280"/>
      <c r="F181" s="2048"/>
      <c r="G181" s="282" t="s">
        <v>291</v>
      </c>
      <c r="H181" s="2025">
        <f>도시미화부!H147</f>
        <v>19800</v>
      </c>
      <c r="I181" s="2039">
        <v>19740</v>
      </c>
      <c r="J181" s="2050">
        <f t="shared" si="2"/>
        <v>60</v>
      </c>
    </row>
    <row r="182" spans="1:10" ht="18" customHeight="1">
      <c r="A182" s="266"/>
      <c r="B182" s="272"/>
      <c r="C182" s="274"/>
      <c r="D182" s="273"/>
      <c r="E182" s="262" t="s">
        <v>327</v>
      </c>
      <c r="F182" s="263"/>
      <c r="G182" s="264"/>
      <c r="H182" s="2024">
        <f>H183</f>
        <v>721184</v>
      </c>
      <c r="I182" s="2038">
        <v>660555</v>
      </c>
      <c r="J182" s="265">
        <f t="shared" si="2"/>
        <v>60629</v>
      </c>
    </row>
    <row r="183" spans="1:10" ht="18" customHeight="1">
      <c r="A183" s="266"/>
      <c r="B183" s="272"/>
      <c r="C183" s="274"/>
      <c r="D183" s="274"/>
      <c r="E183" s="287"/>
      <c r="F183" s="262" t="s">
        <v>280</v>
      </c>
      <c r="G183" s="264"/>
      <c r="H183" s="2024">
        <f>도시미화부!H152</f>
        <v>721184</v>
      </c>
      <c r="I183" s="2038">
        <v>660555</v>
      </c>
      <c r="J183" s="265">
        <f t="shared" si="2"/>
        <v>60629</v>
      </c>
    </row>
    <row r="184" spans="1:10" ht="18" customHeight="1">
      <c r="A184" s="193"/>
      <c r="B184" s="194"/>
      <c r="C184" s="276"/>
      <c r="D184" s="276"/>
      <c r="E184" s="280"/>
      <c r="F184" s="2048"/>
      <c r="G184" s="282" t="s">
        <v>284</v>
      </c>
      <c r="H184" s="2025">
        <f>도시미화부!H153</f>
        <v>721184</v>
      </c>
      <c r="I184" s="2039">
        <v>660555</v>
      </c>
      <c r="J184" s="2050">
        <f t="shared" si="2"/>
        <v>60629</v>
      </c>
    </row>
    <row r="185" spans="1:10" ht="18" customHeight="1">
      <c r="A185" s="266"/>
      <c r="B185" s="272"/>
      <c r="C185" s="274"/>
      <c r="D185" s="274"/>
      <c r="E185" s="262" t="s">
        <v>328</v>
      </c>
      <c r="F185" s="263"/>
      <c r="G185" s="264"/>
      <c r="H185" s="2024">
        <f>H186+H187</f>
        <v>407000</v>
      </c>
      <c r="I185" s="2038">
        <v>426800</v>
      </c>
      <c r="J185" s="265">
        <f t="shared" si="2"/>
        <v>-19800</v>
      </c>
    </row>
    <row r="186" spans="1:10" ht="18" customHeight="1">
      <c r="A186" s="266"/>
      <c r="B186" s="272"/>
      <c r="C186" s="274"/>
      <c r="D186" s="273"/>
      <c r="E186" s="275"/>
      <c r="F186" s="262" t="s">
        <v>311</v>
      </c>
      <c r="G186" s="264"/>
      <c r="H186" s="2024">
        <v>0</v>
      </c>
      <c r="I186" s="2038">
        <v>0</v>
      </c>
      <c r="J186" s="265">
        <f t="shared" si="2"/>
        <v>0</v>
      </c>
    </row>
    <row r="187" spans="1:10" ht="18" customHeight="1">
      <c r="A187" s="266"/>
      <c r="B187" s="272"/>
      <c r="C187" s="274"/>
      <c r="D187" s="273"/>
      <c r="E187" s="274"/>
      <c r="F187" s="262" t="s">
        <v>294</v>
      </c>
      <c r="G187" s="264"/>
      <c r="H187" s="2024">
        <f>도시미화부!H185</f>
        <v>407000</v>
      </c>
      <c r="I187" s="2038">
        <v>426800</v>
      </c>
      <c r="J187" s="265">
        <f t="shared" si="2"/>
        <v>-19800</v>
      </c>
    </row>
    <row r="188" spans="1:10" ht="18" customHeight="1">
      <c r="A188" s="193"/>
      <c r="B188" s="194"/>
      <c r="C188" s="276"/>
      <c r="D188" s="277"/>
      <c r="E188" s="280"/>
      <c r="F188" s="2048"/>
      <c r="G188" s="282" t="s">
        <v>295</v>
      </c>
      <c r="H188" s="2025">
        <f>도시미화부!H186</f>
        <v>407000</v>
      </c>
      <c r="I188" s="2039">
        <v>426800</v>
      </c>
      <c r="J188" s="2050">
        <f t="shared" si="2"/>
        <v>-19800</v>
      </c>
    </row>
    <row r="189" spans="1:10" ht="18" customHeight="1">
      <c r="A189" s="193"/>
      <c r="B189" s="194"/>
      <c r="C189" s="277"/>
      <c r="D189" s="276"/>
      <c r="E189" s="302" t="s">
        <v>329</v>
      </c>
      <c r="F189" s="288"/>
      <c r="G189" s="303"/>
      <c r="H189" s="2024">
        <f>H190+H192</f>
        <v>97217</v>
      </c>
      <c r="I189" s="2038">
        <v>0</v>
      </c>
      <c r="J189" s="265">
        <f t="shared" si="2"/>
        <v>97217</v>
      </c>
    </row>
    <row r="190" spans="1:10" ht="18" customHeight="1">
      <c r="A190" s="193"/>
      <c r="B190" s="194"/>
      <c r="C190" s="277"/>
      <c r="D190" s="276"/>
      <c r="E190" s="275"/>
      <c r="F190" s="288" t="s">
        <v>278</v>
      </c>
      <c r="G190" s="303"/>
      <c r="H190" s="2024">
        <f>도시미화부!H192</f>
        <v>67217</v>
      </c>
      <c r="I190" s="2038">
        <v>0</v>
      </c>
      <c r="J190" s="265">
        <f t="shared" si="2"/>
        <v>67217</v>
      </c>
    </row>
    <row r="191" spans="1:10" ht="18" customHeight="1">
      <c r="A191" s="193"/>
      <c r="B191" s="194"/>
      <c r="C191" s="277"/>
      <c r="D191" s="276"/>
      <c r="E191" s="276"/>
      <c r="F191" s="289"/>
      <c r="G191" s="278" t="s">
        <v>330</v>
      </c>
      <c r="H191" s="2025">
        <f>도시미화부!H193</f>
        <v>67217</v>
      </c>
      <c r="I191" s="2039">
        <v>0</v>
      </c>
      <c r="J191" s="265">
        <f t="shared" si="2"/>
        <v>67217</v>
      </c>
    </row>
    <row r="192" spans="1:10" ht="18" customHeight="1">
      <c r="A192" s="193"/>
      <c r="B192" s="194"/>
      <c r="C192" s="277"/>
      <c r="D192" s="276"/>
      <c r="E192" s="276"/>
      <c r="F192" s="294" t="s">
        <v>280</v>
      </c>
      <c r="G192" s="304"/>
      <c r="H192" s="2024">
        <f>도시미화부!H213</f>
        <v>30000</v>
      </c>
      <c r="I192" s="2038">
        <v>0</v>
      </c>
      <c r="J192" s="265">
        <f t="shared" si="2"/>
        <v>30000</v>
      </c>
    </row>
    <row r="193" spans="1:10" ht="18" customHeight="1">
      <c r="A193" s="193"/>
      <c r="B193" s="194"/>
      <c r="C193" s="277"/>
      <c r="D193" s="280"/>
      <c r="E193" s="280"/>
      <c r="F193" s="278"/>
      <c r="G193" s="278" t="s">
        <v>2259</v>
      </c>
      <c r="H193" s="2025">
        <f>도시미화부!H214</f>
        <v>30000</v>
      </c>
      <c r="I193" s="2039">
        <v>0</v>
      </c>
      <c r="J193" s="265">
        <f t="shared" si="2"/>
        <v>30000</v>
      </c>
    </row>
    <row r="194" spans="1:10" ht="18" customHeight="1">
      <c r="A194" s="266"/>
      <c r="B194" s="272"/>
      <c r="C194" s="273"/>
      <c r="D194" s="262" t="s">
        <v>331</v>
      </c>
      <c r="E194" s="263"/>
      <c r="F194" s="263"/>
      <c r="G194" s="264"/>
      <c r="H194" s="2023">
        <f>H195</f>
        <v>105943</v>
      </c>
      <c r="I194" s="2037">
        <v>100803</v>
      </c>
      <c r="J194" s="265">
        <f t="shared" si="2"/>
        <v>5140</v>
      </c>
    </row>
    <row r="195" spans="1:10" ht="18" customHeight="1">
      <c r="A195" s="266"/>
      <c r="B195" s="272"/>
      <c r="C195" s="274"/>
      <c r="D195" s="273"/>
      <c r="E195" s="262" t="s">
        <v>332</v>
      </c>
      <c r="F195" s="263"/>
      <c r="G195" s="264"/>
      <c r="H195" s="2024">
        <f>H196+H203+H205+H207</f>
        <v>105943</v>
      </c>
      <c r="I195" s="2038">
        <v>100803</v>
      </c>
      <c r="J195" s="265">
        <f t="shared" si="2"/>
        <v>5140</v>
      </c>
    </row>
    <row r="196" spans="1:10" ht="18" customHeight="1">
      <c r="A196" s="266"/>
      <c r="B196" s="272"/>
      <c r="C196" s="274"/>
      <c r="D196" s="273"/>
      <c r="E196" s="275"/>
      <c r="F196" s="262" t="s">
        <v>280</v>
      </c>
      <c r="G196" s="264"/>
      <c r="H196" s="2024">
        <f>도시미화부!H220</f>
        <v>103543</v>
      </c>
      <c r="I196" s="2038">
        <v>98403</v>
      </c>
      <c r="J196" s="265">
        <f t="shared" si="2"/>
        <v>5140</v>
      </c>
    </row>
    <row r="197" spans="1:10" ht="18" customHeight="1">
      <c r="A197" s="193"/>
      <c r="B197" s="194"/>
      <c r="C197" s="276"/>
      <c r="D197" s="277"/>
      <c r="E197" s="276"/>
      <c r="F197" s="278"/>
      <c r="G197" s="279" t="s">
        <v>281</v>
      </c>
      <c r="H197" s="2025">
        <f>도시미화부!H221</f>
        <v>3081</v>
      </c>
      <c r="I197" s="2039">
        <v>3078</v>
      </c>
      <c r="J197" s="265">
        <f t="shared" si="2"/>
        <v>3</v>
      </c>
    </row>
    <row r="198" spans="1:10" ht="18" customHeight="1">
      <c r="A198" s="193"/>
      <c r="B198" s="194"/>
      <c r="C198" s="276"/>
      <c r="D198" s="277"/>
      <c r="E198" s="276"/>
      <c r="F198" s="278"/>
      <c r="G198" s="279" t="s">
        <v>282</v>
      </c>
      <c r="H198" s="2025">
        <f>도시미화부!H228</f>
        <v>69012</v>
      </c>
      <c r="I198" s="2039">
        <v>66271</v>
      </c>
      <c r="J198" s="265">
        <f t="shared" si="2"/>
        <v>2741</v>
      </c>
    </row>
    <row r="199" spans="1:10" ht="18" customHeight="1">
      <c r="A199" s="193"/>
      <c r="B199" s="194"/>
      <c r="C199" s="276"/>
      <c r="D199" s="277"/>
      <c r="E199" s="276"/>
      <c r="F199" s="278"/>
      <c r="G199" s="279" t="s">
        <v>283</v>
      </c>
      <c r="H199" s="2025">
        <f>도시미화부!H235</f>
        <v>12852</v>
      </c>
      <c r="I199" s="2039">
        <v>11616</v>
      </c>
      <c r="J199" s="265">
        <f t="shared" si="2"/>
        <v>1236</v>
      </c>
    </row>
    <row r="200" spans="1:10" ht="18" customHeight="1">
      <c r="A200" s="193"/>
      <c r="B200" s="194"/>
      <c r="C200" s="276"/>
      <c r="D200" s="277"/>
      <c r="E200" s="276"/>
      <c r="F200" s="278"/>
      <c r="G200" s="279" t="s">
        <v>284</v>
      </c>
      <c r="H200" s="2025">
        <f>도시미화부!H242</f>
        <v>2760</v>
      </c>
      <c r="I200" s="2039">
        <v>2460</v>
      </c>
      <c r="J200" s="265">
        <f t="shared" ref="J200:J263" si="3">H200-I200</f>
        <v>300</v>
      </c>
    </row>
    <row r="201" spans="1:10" ht="18" customHeight="1">
      <c r="A201" s="193"/>
      <c r="B201" s="194"/>
      <c r="C201" s="276"/>
      <c r="D201" s="277"/>
      <c r="E201" s="276"/>
      <c r="F201" s="278"/>
      <c r="G201" s="279" t="s">
        <v>2257</v>
      </c>
      <c r="H201" s="2025">
        <f>도시미화부!H247</f>
        <v>10600</v>
      </c>
      <c r="I201" s="2039">
        <v>9740</v>
      </c>
      <c r="J201" s="265">
        <f t="shared" si="3"/>
        <v>860</v>
      </c>
    </row>
    <row r="202" spans="1:10" ht="18" customHeight="1">
      <c r="A202" s="193"/>
      <c r="B202" s="194"/>
      <c r="C202" s="276"/>
      <c r="D202" s="277"/>
      <c r="E202" s="276"/>
      <c r="F202" s="278"/>
      <c r="G202" s="279" t="s">
        <v>2259</v>
      </c>
      <c r="H202" s="2025">
        <f>도시미화부!H254</f>
        <v>5238</v>
      </c>
      <c r="I202" s="2039">
        <v>5238</v>
      </c>
      <c r="J202" s="265">
        <f t="shared" si="3"/>
        <v>0</v>
      </c>
    </row>
    <row r="203" spans="1:10" ht="18" customHeight="1">
      <c r="A203" s="266"/>
      <c r="B203" s="272"/>
      <c r="C203" s="274"/>
      <c r="D203" s="273"/>
      <c r="E203" s="274"/>
      <c r="F203" s="262" t="s">
        <v>286</v>
      </c>
      <c r="G203" s="264"/>
      <c r="H203" s="2024">
        <f>도시미화부!H257</f>
        <v>1200</v>
      </c>
      <c r="I203" s="2038">
        <v>1200</v>
      </c>
      <c r="J203" s="265">
        <f t="shared" si="3"/>
        <v>0</v>
      </c>
    </row>
    <row r="204" spans="1:10" ht="18" customHeight="1">
      <c r="A204" s="193"/>
      <c r="B204" s="194"/>
      <c r="C204" s="276"/>
      <c r="D204" s="277"/>
      <c r="E204" s="276"/>
      <c r="F204" s="278"/>
      <c r="G204" s="279" t="s">
        <v>287</v>
      </c>
      <c r="H204" s="2025">
        <f>도시미화부!H258</f>
        <v>1200</v>
      </c>
      <c r="I204" s="2039">
        <v>1200</v>
      </c>
      <c r="J204" s="265">
        <f t="shared" si="3"/>
        <v>0</v>
      </c>
    </row>
    <row r="205" spans="1:10" ht="18" customHeight="1">
      <c r="A205" s="266"/>
      <c r="B205" s="272"/>
      <c r="C205" s="274"/>
      <c r="D205" s="273"/>
      <c r="E205" s="274"/>
      <c r="F205" s="262" t="s">
        <v>294</v>
      </c>
      <c r="G205" s="264"/>
      <c r="H205" s="2024">
        <v>0</v>
      </c>
      <c r="I205" s="2038">
        <v>0</v>
      </c>
      <c r="J205" s="265">
        <f t="shared" si="3"/>
        <v>0</v>
      </c>
    </row>
    <row r="206" spans="1:10" ht="18" customHeight="1">
      <c r="A206" s="193"/>
      <c r="B206" s="194"/>
      <c r="C206" s="276"/>
      <c r="D206" s="277"/>
      <c r="E206" s="276"/>
      <c r="F206" s="278"/>
      <c r="G206" s="279" t="s">
        <v>295</v>
      </c>
      <c r="H206" s="2025">
        <v>0</v>
      </c>
      <c r="I206" s="2039">
        <v>0</v>
      </c>
      <c r="J206" s="265">
        <f t="shared" si="3"/>
        <v>0</v>
      </c>
    </row>
    <row r="207" spans="1:10" ht="18" customHeight="1">
      <c r="A207" s="266"/>
      <c r="B207" s="272"/>
      <c r="C207" s="274"/>
      <c r="D207" s="274"/>
      <c r="E207" s="274"/>
      <c r="F207" s="262" t="s">
        <v>290</v>
      </c>
      <c r="G207" s="264"/>
      <c r="H207" s="2024">
        <f>도시미화부!H260</f>
        <v>1200</v>
      </c>
      <c r="I207" s="2038">
        <v>1200</v>
      </c>
      <c r="J207" s="265">
        <f t="shared" si="3"/>
        <v>0</v>
      </c>
    </row>
    <row r="208" spans="1:10" ht="18" customHeight="1">
      <c r="A208" s="193"/>
      <c r="B208" s="194"/>
      <c r="C208" s="276"/>
      <c r="D208" s="277"/>
      <c r="E208" s="280"/>
      <c r="F208" s="2048"/>
      <c r="G208" s="282" t="s">
        <v>291</v>
      </c>
      <c r="H208" s="2025">
        <f>도시미화부!H261</f>
        <v>1200</v>
      </c>
      <c r="I208" s="2039">
        <v>1200</v>
      </c>
      <c r="J208" s="265">
        <f t="shared" si="3"/>
        <v>0</v>
      </c>
    </row>
    <row r="209" spans="1:10" ht="18" customHeight="1">
      <c r="A209" s="266"/>
      <c r="B209" s="272"/>
      <c r="C209" s="273"/>
      <c r="D209" s="262" t="s">
        <v>333</v>
      </c>
      <c r="E209" s="263"/>
      <c r="F209" s="263"/>
      <c r="G209" s="264"/>
      <c r="H209" s="2023">
        <f>H210+H224</f>
        <v>1808294</v>
      </c>
      <c r="I209" s="2037">
        <v>3600588</v>
      </c>
      <c r="J209" s="265">
        <f t="shared" si="3"/>
        <v>-1792294</v>
      </c>
    </row>
    <row r="210" spans="1:10" ht="18" customHeight="1">
      <c r="A210" s="266"/>
      <c r="B210" s="272"/>
      <c r="C210" s="274"/>
      <c r="D210" s="273"/>
      <c r="E210" s="262" t="s">
        <v>334</v>
      </c>
      <c r="F210" s="263"/>
      <c r="G210" s="264"/>
      <c r="H210" s="2024">
        <f>H211+H213+H220+H222</f>
        <v>525091</v>
      </c>
      <c r="I210" s="2038">
        <v>788376</v>
      </c>
      <c r="J210" s="265">
        <f t="shared" si="3"/>
        <v>-263285</v>
      </c>
    </row>
    <row r="211" spans="1:10" ht="18" customHeight="1">
      <c r="A211" s="266"/>
      <c r="B211" s="272"/>
      <c r="C211" s="274"/>
      <c r="D211" s="273"/>
      <c r="E211" s="275"/>
      <c r="F211" s="262" t="s">
        <v>278</v>
      </c>
      <c r="G211" s="264"/>
      <c r="H211" s="2024">
        <v>0</v>
      </c>
      <c r="I211" s="2038">
        <v>0</v>
      </c>
      <c r="J211" s="265">
        <f t="shared" si="3"/>
        <v>0</v>
      </c>
    </row>
    <row r="212" spans="1:10" ht="18" customHeight="1">
      <c r="A212" s="193"/>
      <c r="B212" s="194"/>
      <c r="C212" s="276"/>
      <c r="D212" s="277"/>
      <c r="E212" s="276"/>
      <c r="F212" s="278"/>
      <c r="G212" s="279" t="s">
        <v>279</v>
      </c>
      <c r="H212" s="2025">
        <v>0</v>
      </c>
      <c r="I212" s="2039">
        <v>0</v>
      </c>
      <c r="J212" s="265">
        <f t="shared" si="3"/>
        <v>0</v>
      </c>
    </row>
    <row r="213" spans="1:10" ht="18" customHeight="1">
      <c r="A213" s="266"/>
      <c r="B213" s="272"/>
      <c r="C213" s="274"/>
      <c r="D213" s="273"/>
      <c r="E213" s="274"/>
      <c r="F213" s="262" t="s">
        <v>280</v>
      </c>
      <c r="G213" s="264"/>
      <c r="H213" s="2024">
        <f>환경자원사업소!H10</f>
        <v>512131</v>
      </c>
      <c r="I213" s="2038">
        <v>775416</v>
      </c>
      <c r="J213" s="265">
        <f t="shared" si="3"/>
        <v>-263285</v>
      </c>
    </row>
    <row r="214" spans="1:10" ht="18" customHeight="1">
      <c r="A214" s="193"/>
      <c r="B214" s="194"/>
      <c r="C214" s="276"/>
      <c r="D214" s="277"/>
      <c r="E214" s="276"/>
      <c r="F214" s="278"/>
      <c r="G214" s="279" t="s">
        <v>281</v>
      </c>
      <c r="H214" s="2025">
        <f>환경자원사업소!H11</f>
        <v>26980</v>
      </c>
      <c r="I214" s="2039">
        <v>30220</v>
      </c>
      <c r="J214" s="265">
        <f t="shared" si="3"/>
        <v>-3240</v>
      </c>
    </row>
    <row r="215" spans="1:10" ht="18" customHeight="1">
      <c r="A215" s="193"/>
      <c r="B215" s="194"/>
      <c r="C215" s="276"/>
      <c r="D215" s="277"/>
      <c r="E215" s="276"/>
      <c r="F215" s="278"/>
      <c r="G215" s="279" t="s">
        <v>282</v>
      </c>
      <c r="H215" s="2025">
        <f>환경자원사업소!H33</f>
        <v>276520</v>
      </c>
      <c r="I215" s="2039">
        <v>514560</v>
      </c>
      <c r="J215" s="265">
        <f t="shared" si="3"/>
        <v>-238040</v>
      </c>
    </row>
    <row r="216" spans="1:10" ht="18" customHeight="1">
      <c r="A216" s="193"/>
      <c r="B216" s="194"/>
      <c r="C216" s="276"/>
      <c r="D216" s="277"/>
      <c r="E216" s="276"/>
      <c r="F216" s="278"/>
      <c r="G216" s="279" t="s">
        <v>283</v>
      </c>
      <c r="H216" s="2025">
        <f>환경자원사업소!H67</f>
        <v>22200</v>
      </c>
      <c r="I216" s="2039">
        <v>34000</v>
      </c>
      <c r="J216" s="265">
        <f t="shared" si="3"/>
        <v>-11800</v>
      </c>
    </row>
    <row r="217" spans="1:10" ht="18" customHeight="1">
      <c r="A217" s="193"/>
      <c r="B217" s="194"/>
      <c r="C217" s="276"/>
      <c r="D217" s="277"/>
      <c r="E217" s="276"/>
      <c r="F217" s="278"/>
      <c r="G217" s="279" t="s">
        <v>284</v>
      </c>
      <c r="H217" s="2025">
        <f>환경자원사업소!H75</f>
        <v>65740</v>
      </c>
      <c r="I217" s="2039">
        <v>65840</v>
      </c>
      <c r="J217" s="265">
        <f t="shared" si="3"/>
        <v>-100</v>
      </c>
    </row>
    <row r="218" spans="1:10" ht="18" customHeight="1">
      <c r="A218" s="193"/>
      <c r="B218" s="194"/>
      <c r="C218" s="276"/>
      <c r="D218" s="277"/>
      <c r="E218" s="276"/>
      <c r="F218" s="278"/>
      <c r="G218" s="279" t="s">
        <v>2257</v>
      </c>
      <c r="H218" s="2025">
        <f>환경자원사업소!H87</f>
        <v>118591</v>
      </c>
      <c r="I218" s="2039">
        <v>128696</v>
      </c>
      <c r="J218" s="265">
        <f t="shared" si="3"/>
        <v>-10105</v>
      </c>
    </row>
    <row r="219" spans="1:10" ht="18" customHeight="1">
      <c r="A219" s="193"/>
      <c r="B219" s="194"/>
      <c r="C219" s="276"/>
      <c r="D219" s="277"/>
      <c r="E219" s="276"/>
      <c r="F219" s="278"/>
      <c r="G219" s="279" t="s">
        <v>2259</v>
      </c>
      <c r="H219" s="2025">
        <f>환경자원사업소!H105</f>
        <v>2100</v>
      </c>
      <c r="I219" s="2039">
        <v>2100</v>
      </c>
      <c r="J219" s="265">
        <f t="shared" si="3"/>
        <v>0</v>
      </c>
    </row>
    <row r="220" spans="1:10" ht="18" customHeight="1">
      <c r="A220" s="266"/>
      <c r="B220" s="272"/>
      <c r="C220" s="274"/>
      <c r="D220" s="273"/>
      <c r="E220" s="274"/>
      <c r="F220" s="262" t="s">
        <v>286</v>
      </c>
      <c r="G220" s="264"/>
      <c r="H220" s="2024">
        <f>환경자원사업소!H110</f>
        <v>7440</v>
      </c>
      <c r="I220" s="2038">
        <v>7440</v>
      </c>
      <c r="J220" s="265">
        <f t="shared" si="3"/>
        <v>0</v>
      </c>
    </row>
    <row r="221" spans="1:10" ht="18" customHeight="1">
      <c r="A221" s="193"/>
      <c r="B221" s="194"/>
      <c r="C221" s="276"/>
      <c r="D221" s="277"/>
      <c r="E221" s="276"/>
      <c r="F221" s="278"/>
      <c r="G221" s="279" t="s">
        <v>287</v>
      </c>
      <c r="H221" s="2025">
        <f>환경자원사업소!H111</f>
        <v>7440</v>
      </c>
      <c r="I221" s="2039">
        <v>7440</v>
      </c>
      <c r="J221" s="265">
        <f t="shared" si="3"/>
        <v>0</v>
      </c>
    </row>
    <row r="222" spans="1:10" ht="18" customHeight="1">
      <c r="A222" s="266"/>
      <c r="B222" s="272"/>
      <c r="C222" s="274"/>
      <c r="D222" s="274"/>
      <c r="E222" s="274"/>
      <c r="F222" s="262" t="s">
        <v>290</v>
      </c>
      <c r="G222" s="264"/>
      <c r="H222" s="2023">
        <f>환경자원사업소!H114</f>
        <v>5520</v>
      </c>
      <c r="I222" s="2037">
        <v>5520</v>
      </c>
      <c r="J222" s="265">
        <f t="shared" si="3"/>
        <v>0</v>
      </c>
    </row>
    <row r="223" spans="1:10" ht="18" customHeight="1">
      <c r="A223" s="193"/>
      <c r="B223" s="194"/>
      <c r="C223" s="276"/>
      <c r="D223" s="276"/>
      <c r="E223" s="280"/>
      <c r="F223" s="2048"/>
      <c r="G223" s="282" t="s">
        <v>291</v>
      </c>
      <c r="H223" s="2025">
        <f>환경자원사업소!H115</f>
        <v>5520</v>
      </c>
      <c r="I223" s="2039">
        <v>5520</v>
      </c>
      <c r="J223" s="265">
        <f t="shared" si="3"/>
        <v>0</v>
      </c>
    </row>
    <row r="224" spans="1:10" ht="18" customHeight="1">
      <c r="A224" s="266"/>
      <c r="B224" s="272"/>
      <c r="C224" s="274"/>
      <c r="D224" s="274"/>
      <c r="E224" s="262" t="s">
        <v>335</v>
      </c>
      <c r="F224" s="263"/>
      <c r="G224" s="264"/>
      <c r="H224" s="2024">
        <f>H225+H227+H230+H232</f>
        <v>1283203</v>
      </c>
      <c r="I224" s="2038">
        <v>2812212</v>
      </c>
      <c r="J224" s="265">
        <f t="shared" si="3"/>
        <v>-1529009</v>
      </c>
    </row>
    <row r="225" spans="1:10" ht="18" customHeight="1">
      <c r="A225" s="266"/>
      <c r="B225" s="272"/>
      <c r="C225" s="274"/>
      <c r="D225" s="273"/>
      <c r="E225" s="275"/>
      <c r="F225" s="262" t="s">
        <v>311</v>
      </c>
      <c r="G225" s="264"/>
      <c r="H225" s="2024">
        <f>환경자원사업소!H119</f>
        <v>306455</v>
      </c>
      <c r="I225" s="2038">
        <v>612612</v>
      </c>
      <c r="J225" s="265">
        <f t="shared" si="3"/>
        <v>-306157</v>
      </c>
    </row>
    <row r="226" spans="1:10" ht="18" customHeight="1">
      <c r="A226" s="193"/>
      <c r="B226" s="194"/>
      <c r="C226" s="276"/>
      <c r="D226" s="277"/>
      <c r="E226" s="276"/>
      <c r="F226" s="278"/>
      <c r="G226" s="279" t="s">
        <v>313</v>
      </c>
      <c r="H226" s="2025">
        <f>환경자원사업소!H120</f>
        <v>306455</v>
      </c>
      <c r="I226" s="2039">
        <v>612612</v>
      </c>
      <c r="J226" s="265">
        <f t="shared" si="3"/>
        <v>-306157</v>
      </c>
    </row>
    <row r="227" spans="1:10" ht="18" customHeight="1">
      <c r="A227" s="266"/>
      <c r="B227" s="272"/>
      <c r="C227" s="274"/>
      <c r="D227" s="273"/>
      <c r="E227" s="274"/>
      <c r="F227" s="262" t="s">
        <v>288</v>
      </c>
      <c r="G227" s="264"/>
      <c r="H227" s="2024">
        <f>환경자원사업소!H137</f>
        <v>11400</v>
      </c>
      <c r="I227" s="2038">
        <v>12000</v>
      </c>
      <c r="J227" s="265">
        <f t="shared" si="3"/>
        <v>-600</v>
      </c>
    </row>
    <row r="228" spans="1:10" ht="18" customHeight="1">
      <c r="A228" s="193"/>
      <c r="B228" s="194"/>
      <c r="C228" s="276"/>
      <c r="D228" s="277"/>
      <c r="E228" s="276"/>
      <c r="F228" s="279"/>
      <c r="G228" s="279" t="s">
        <v>289</v>
      </c>
      <c r="H228" s="2025">
        <f>환경자원사업소!H138</f>
        <v>6600</v>
      </c>
      <c r="I228" s="2039">
        <v>0</v>
      </c>
      <c r="J228" s="265">
        <f t="shared" si="3"/>
        <v>6600</v>
      </c>
    </row>
    <row r="229" spans="1:10" ht="18" customHeight="1">
      <c r="A229" s="193"/>
      <c r="B229" s="194"/>
      <c r="C229" s="276"/>
      <c r="D229" s="277"/>
      <c r="E229" s="276"/>
      <c r="F229" s="281"/>
      <c r="G229" s="278" t="s">
        <v>336</v>
      </c>
      <c r="H229" s="2025">
        <f>환경자원사업소!H140</f>
        <v>4800</v>
      </c>
      <c r="I229" s="2039">
        <v>12000</v>
      </c>
      <c r="J229" s="265">
        <f t="shared" si="3"/>
        <v>-7200</v>
      </c>
    </row>
    <row r="230" spans="1:10" ht="18" customHeight="1">
      <c r="A230" s="266"/>
      <c r="B230" s="272"/>
      <c r="C230" s="274"/>
      <c r="D230" s="273"/>
      <c r="E230" s="274"/>
      <c r="F230" s="262" t="s">
        <v>294</v>
      </c>
      <c r="G230" s="264"/>
      <c r="H230" s="2024">
        <f>환경자원사업소!H142</f>
        <v>458108</v>
      </c>
      <c r="I230" s="2038">
        <v>1289180</v>
      </c>
      <c r="J230" s="265">
        <f t="shared" si="3"/>
        <v>-831072</v>
      </c>
    </row>
    <row r="231" spans="1:10" ht="18" customHeight="1">
      <c r="A231" s="193"/>
      <c r="B231" s="194"/>
      <c r="C231" s="276"/>
      <c r="D231" s="277"/>
      <c r="E231" s="276"/>
      <c r="F231" s="278"/>
      <c r="G231" s="279" t="s">
        <v>295</v>
      </c>
      <c r="H231" s="2025">
        <f>환경자원사업소!H143</f>
        <v>458108</v>
      </c>
      <c r="I231" s="2039">
        <v>1289180</v>
      </c>
      <c r="J231" s="265">
        <f t="shared" si="3"/>
        <v>-831072</v>
      </c>
    </row>
    <row r="232" spans="1:10" ht="18" customHeight="1">
      <c r="A232" s="266"/>
      <c r="B232" s="272"/>
      <c r="C232" s="274"/>
      <c r="D232" s="273"/>
      <c r="E232" s="274"/>
      <c r="F232" s="262" t="s">
        <v>337</v>
      </c>
      <c r="G232" s="264"/>
      <c r="H232" s="2024">
        <f>환경자원사업소!H152</f>
        <v>507240</v>
      </c>
      <c r="I232" s="2038">
        <v>898420</v>
      </c>
      <c r="J232" s="265">
        <f t="shared" si="3"/>
        <v>-391180</v>
      </c>
    </row>
    <row r="233" spans="1:10" ht="18" customHeight="1">
      <c r="A233" s="193"/>
      <c r="B233" s="194"/>
      <c r="C233" s="280"/>
      <c r="D233" s="280"/>
      <c r="E233" s="280"/>
      <c r="F233" s="2048"/>
      <c r="G233" s="282" t="s">
        <v>337</v>
      </c>
      <c r="H233" s="2025">
        <f>환경자원사업소!H152</f>
        <v>507240</v>
      </c>
      <c r="I233" s="2039">
        <v>898420</v>
      </c>
      <c r="J233" s="265">
        <f t="shared" si="3"/>
        <v>-391180</v>
      </c>
    </row>
    <row r="234" spans="1:10" ht="18" customHeight="1">
      <c r="A234" s="266"/>
      <c r="B234" s="272"/>
      <c r="C234" s="305" t="s">
        <v>143</v>
      </c>
      <c r="D234" s="306"/>
      <c r="E234" s="306"/>
      <c r="F234" s="306"/>
      <c r="G234" s="307"/>
      <c r="H234" s="2029">
        <f>H235+H280</f>
        <v>17542034</v>
      </c>
      <c r="I234" s="2043">
        <v>16154050</v>
      </c>
      <c r="J234" s="308">
        <f t="shared" si="3"/>
        <v>1387984</v>
      </c>
    </row>
    <row r="235" spans="1:10" ht="18" customHeight="1">
      <c r="A235" s="266"/>
      <c r="B235" s="272"/>
      <c r="C235" s="273"/>
      <c r="D235" s="262" t="s">
        <v>338</v>
      </c>
      <c r="E235" s="263"/>
      <c r="F235" s="263"/>
      <c r="G235" s="264"/>
      <c r="H235" s="2023">
        <f>H236+H269</f>
        <v>5367318</v>
      </c>
      <c r="I235" s="2037">
        <v>5219217</v>
      </c>
      <c r="J235" s="265">
        <f t="shared" si="3"/>
        <v>148101</v>
      </c>
    </row>
    <row r="236" spans="1:10" ht="18" customHeight="1">
      <c r="A236" s="266"/>
      <c r="B236" s="272"/>
      <c r="C236" s="274"/>
      <c r="D236" s="273"/>
      <c r="E236" s="262" t="s">
        <v>339</v>
      </c>
      <c r="F236" s="263"/>
      <c r="G236" s="264"/>
      <c r="H236" s="2024">
        <f>H237+H248+H251+H253+H255+H258+H263+H265+H267</f>
        <v>5217496</v>
      </c>
      <c r="I236" s="2038">
        <v>5130718</v>
      </c>
      <c r="J236" s="265">
        <f t="shared" si="3"/>
        <v>86778</v>
      </c>
    </row>
    <row r="237" spans="1:10" ht="18" customHeight="1">
      <c r="A237" s="266"/>
      <c r="B237" s="272"/>
      <c r="C237" s="274"/>
      <c r="D237" s="273"/>
      <c r="E237" s="275"/>
      <c r="F237" s="262" t="s">
        <v>280</v>
      </c>
      <c r="G237" s="264"/>
      <c r="H237" s="2024">
        <f>경영본부!H10</f>
        <v>1381622</v>
      </c>
      <c r="I237" s="2038">
        <v>1247836</v>
      </c>
      <c r="J237" s="265">
        <f t="shared" si="3"/>
        <v>133786</v>
      </c>
    </row>
    <row r="238" spans="1:10" ht="18" customHeight="1">
      <c r="A238" s="193"/>
      <c r="B238" s="194"/>
      <c r="C238" s="276"/>
      <c r="D238" s="277"/>
      <c r="E238" s="276"/>
      <c r="F238" s="278"/>
      <c r="G238" s="279" t="s">
        <v>281</v>
      </c>
      <c r="H238" s="2025">
        <f>경영본부!H11</f>
        <v>61866</v>
      </c>
      <c r="I238" s="2039">
        <v>59506</v>
      </c>
      <c r="J238" s="265">
        <f t="shared" si="3"/>
        <v>2360</v>
      </c>
    </row>
    <row r="239" spans="1:10" ht="18" customHeight="1">
      <c r="A239" s="193"/>
      <c r="B239" s="194"/>
      <c r="C239" s="276"/>
      <c r="D239" s="277"/>
      <c r="E239" s="276"/>
      <c r="F239" s="278"/>
      <c r="G239" s="279" t="s">
        <v>301</v>
      </c>
      <c r="H239" s="2025">
        <f>경영본부!H72</f>
        <v>6500</v>
      </c>
      <c r="I239" s="2039">
        <v>6500</v>
      </c>
      <c r="J239" s="265">
        <f t="shared" si="3"/>
        <v>0</v>
      </c>
    </row>
    <row r="240" spans="1:10" ht="18" customHeight="1">
      <c r="A240" s="193"/>
      <c r="B240" s="194"/>
      <c r="C240" s="276"/>
      <c r="D240" s="277"/>
      <c r="E240" s="276"/>
      <c r="F240" s="278"/>
      <c r="G240" s="279" t="s">
        <v>340</v>
      </c>
      <c r="H240" s="2025">
        <f>경영본부!H75</f>
        <v>24800</v>
      </c>
      <c r="I240" s="2039">
        <v>14800</v>
      </c>
      <c r="J240" s="265">
        <f t="shared" si="3"/>
        <v>10000</v>
      </c>
    </row>
    <row r="241" spans="1:10" ht="18" customHeight="1">
      <c r="A241" s="193"/>
      <c r="B241" s="194"/>
      <c r="C241" s="276"/>
      <c r="D241" s="277"/>
      <c r="E241" s="276"/>
      <c r="F241" s="278"/>
      <c r="G241" s="279" t="s">
        <v>282</v>
      </c>
      <c r="H241" s="2025">
        <f>경영본부!H79</f>
        <v>156916</v>
      </c>
      <c r="I241" s="2039">
        <v>132356</v>
      </c>
      <c r="J241" s="265">
        <f t="shared" si="3"/>
        <v>24560</v>
      </c>
    </row>
    <row r="242" spans="1:10" ht="18" customHeight="1">
      <c r="A242" s="193"/>
      <c r="B242" s="194"/>
      <c r="C242" s="276"/>
      <c r="D242" s="277"/>
      <c r="E242" s="276"/>
      <c r="F242" s="278"/>
      <c r="G242" s="279" t="s">
        <v>341</v>
      </c>
      <c r="H242" s="2025">
        <f>경영본부!H97</f>
        <v>53907</v>
      </c>
      <c r="I242" s="2039">
        <v>43050</v>
      </c>
      <c r="J242" s="265">
        <f t="shared" si="3"/>
        <v>10857</v>
      </c>
    </row>
    <row r="243" spans="1:10" ht="18" customHeight="1">
      <c r="A243" s="193"/>
      <c r="B243" s="194"/>
      <c r="C243" s="276"/>
      <c r="D243" s="277"/>
      <c r="E243" s="276"/>
      <c r="F243" s="278"/>
      <c r="G243" s="279" t="s">
        <v>283</v>
      </c>
      <c r="H243" s="2025">
        <f>경영본부!H136</f>
        <v>103421</v>
      </c>
      <c r="I243" s="2039">
        <v>99031</v>
      </c>
      <c r="J243" s="265">
        <f t="shared" si="3"/>
        <v>4390</v>
      </c>
    </row>
    <row r="244" spans="1:10" ht="18" customHeight="1">
      <c r="A244" s="193"/>
      <c r="B244" s="194"/>
      <c r="C244" s="276"/>
      <c r="D244" s="277"/>
      <c r="E244" s="276"/>
      <c r="F244" s="278"/>
      <c r="G244" s="279" t="s">
        <v>342</v>
      </c>
      <c r="H244" s="2025">
        <f>경영본부!H153</f>
        <v>4625</v>
      </c>
      <c r="I244" s="2039">
        <v>4500</v>
      </c>
      <c r="J244" s="265">
        <f t="shared" si="3"/>
        <v>125</v>
      </c>
    </row>
    <row r="245" spans="1:10" ht="18" customHeight="1">
      <c r="A245" s="193"/>
      <c r="B245" s="194"/>
      <c r="C245" s="276"/>
      <c r="D245" s="277"/>
      <c r="E245" s="276"/>
      <c r="F245" s="278"/>
      <c r="G245" s="279" t="s">
        <v>284</v>
      </c>
      <c r="H245" s="2025">
        <f>경영본부!H168</f>
        <v>929805</v>
      </c>
      <c r="I245" s="2039">
        <v>823810</v>
      </c>
      <c r="J245" s="265">
        <f t="shared" si="3"/>
        <v>105995</v>
      </c>
    </row>
    <row r="246" spans="1:10" ht="18" customHeight="1">
      <c r="A246" s="193"/>
      <c r="B246" s="194"/>
      <c r="C246" s="276"/>
      <c r="D246" s="277"/>
      <c r="E246" s="276"/>
      <c r="F246" s="278"/>
      <c r="G246" s="279" t="s">
        <v>2257</v>
      </c>
      <c r="H246" s="2025">
        <f>경영본부!H197</f>
        <v>35462</v>
      </c>
      <c r="I246" s="2039">
        <v>59403</v>
      </c>
      <c r="J246" s="265">
        <f t="shared" si="3"/>
        <v>-23941</v>
      </c>
    </row>
    <row r="247" spans="1:10" ht="18" customHeight="1">
      <c r="A247" s="193"/>
      <c r="B247" s="194"/>
      <c r="C247" s="276"/>
      <c r="D247" s="277"/>
      <c r="E247" s="276"/>
      <c r="F247" s="278"/>
      <c r="G247" s="279" t="s">
        <v>2259</v>
      </c>
      <c r="H247" s="2025">
        <f>경영본부!H207</f>
        <v>4320</v>
      </c>
      <c r="I247" s="2039">
        <v>4880</v>
      </c>
      <c r="J247" s="265">
        <f t="shared" si="3"/>
        <v>-560</v>
      </c>
    </row>
    <row r="248" spans="1:10" ht="18" customHeight="1">
      <c r="A248" s="266"/>
      <c r="B248" s="272"/>
      <c r="C248" s="274"/>
      <c r="D248" s="273"/>
      <c r="E248" s="274"/>
      <c r="F248" s="262" t="s">
        <v>286</v>
      </c>
      <c r="G248" s="264"/>
      <c r="H248" s="2024">
        <f>경영본부!H210</f>
        <v>40800</v>
      </c>
      <c r="I248" s="2038">
        <v>39600</v>
      </c>
      <c r="J248" s="265">
        <f t="shared" si="3"/>
        <v>1200</v>
      </c>
    </row>
    <row r="249" spans="1:10" ht="18" customHeight="1">
      <c r="A249" s="193"/>
      <c r="B249" s="194"/>
      <c r="C249" s="276"/>
      <c r="D249" s="277"/>
      <c r="E249" s="276"/>
      <c r="F249" s="278"/>
      <c r="G249" s="279" t="s">
        <v>287</v>
      </c>
      <c r="H249" s="2025">
        <f>경영본부!H211</f>
        <v>25800</v>
      </c>
      <c r="I249" s="2039">
        <v>24600</v>
      </c>
      <c r="J249" s="265">
        <f t="shared" si="3"/>
        <v>1200</v>
      </c>
    </row>
    <row r="250" spans="1:10" ht="18" customHeight="1">
      <c r="A250" s="193"/>
      <c r="B250" s="194"/>
      <c r="C250" s="276"/>
      <c r="D250" s="277"/>
      <c r="E250" s="276"/>
      <c r="F250" s="278"/>
      <c r="G250" s="279" t="s">
        <v>343</v>
      </c>
      <c r="H250" s="2025">
        <f>경영본부!H214</f>
        <v>15000</v>
      </c>
      <c r="I250" s="2039">
        <v>15000</v>
      </c>
      <c r="J250" s="265">
        <f t="shared" si="3"/>
        <v>0</v>
      </c>
    </row>
    <row r="251" spans="1:10" ht="18" customHeight="1">
      <c r="A251" s="266"/>
      <c r="B251" s="272"/>
      <c r="C251" s="274"/>
      <c r="D251" s="273"/>
      <c r="E251" s="274"/>
      <c r="F251" s="262" t="s">
        <v>344</v>
      </c>
      <c r="G251" s="264"/>
      <c r="H251" s="2024">
        <f>경영본부!H216</f>
        <v>21600</v>
      </c>
      <c r="I251" s="2038">
        <v>20000</v>
      </c>
      <c r="J251" s="265">
        <f t="shared" si="3"/>
        <v>1600</v>
      </c>
    </row>
    <row r="252" spans="1:10" ht="18" customHeight="1">
      <c r="A252" s="193"/>
      <c r="B252" s="194"/>
      <c r="C252" s="276"/>
      <c r="D252" s="277"/>
      <c r="E252" s="276"/>
      <c r="F252" s="278"/>
      <c r="G252" s="279" t="s">
        <v>345</v>
      </c>
      <c r="H252" s="2025">
        <f>경영본부!H217</f>
        <v>21600</v>
      </c>
      <c r="I252" s="2039">
        <v>20000</v>
      </c>
      <c r="J252" s="265">
        <f t="shared" si="3"/>
        <v>1600</v>
      </c>
    </row>
    <row r="253" spans="1:10" ht="18" customHeight="1">
      <c r="A253" s="266"/>
      <c r="B253" s="272"/>
      <c r="C253" s="274"/>
      <c r="D253" s="273"/>
      <c r="E253" s="274"/>
      <c r="F253" s="262" t="s">
        <v>294</v>
      </c>
      <c r="G253" s="264"/>
      <c r="H253" s="2024">
        <f>경영본부!H220</f>
        <v>180266</v>
      </c>
      <c r="I253" s="2038">
        <v>170112</v>
      </c>
      <c r="J253" s="265">
        <f t="shared" si="3"/>
        <v>10154</v>
      </c>
    </row>
    <row r="254" spans="1:10" ht="18" customHeight="1">
      <c r="A254" s="193"/>
      <c r="B254" s="194"/>
      <c r="C254" s="276"/>
      <c r="D254" s="277"/>
      <c r="E254" s="276"/>
      <c r="F254" s="278"/>
      <c r="G254" s="279" t="s">
        <v>295</v>
      </c>
      <c r="H254" s="2025">
        <f>경영본부!H221</f>
        <v>180266</v>
      </c>
      <c r="I254" s="2039">
        <v>170112</v>
      </c>
      <c r="J254" s="265">
        <f t="shared" si="3"/>
        <v>10154</v>
      </c>
    </row>
    <row r="255" spans="1:10" ht="18" customHeight="1">
      <c r="A255" s="266"/>
      <c r="B255" s="272"/>
      <c r="C255" s="274"/>
      <c r="D255" s="273"/>
      <c r="E255" s="274"/>
      <c r="F255" s="262" t="s">
        <v>290</v>
      </c>
      <c r="G255" s="264"/>
      <c r="H255" s="2024">
        <f>경영본부!H242</f>
        <v>27795</v>
      </c>
      <c r="I255" s="2038">
        <v>27435</v>
      </c>
      <c r="J255" s="265">
        <f t="shared" si="3"/>
        <v>360</v>
      </c>
    </row>
    <row r="256" spans="1:10" ht="18" customHeight="1">
      <c r="A256" s="193"/>
      <c r="B256" s="194"/>
      <c r="C256" s="276"/>
      <c r="D256" s="277"/>
      <c r="E256" s="276"/>
      <c r="F256" s="278"/>
      <c r="G256" s="279" t="s">
        <v>346</v>
      </c>
      <c r="H256" s="2025">
        <f>경영본부!H243</f>
        <v>22095</v>
      </c>
      <c r="I256" s="2039">
        <v>21735</v>
      </c>
      <c r="J256" s="265">
        <f t="shared" si="3"/>
        <v>360</v>
      </c>
    </row>
    <row r="257" spans="1:10" ht="18" customHeight="1">
      <c r="A257" s="193"/>
      <c r="B257" s="194"/>
      <c r="C257" s="276"/>
      <c r="D257" s="277"/>
      <c r="E257" s="276"/>
      <c r="F257" s="278"/>
      <c r="G257" s="279" t="s">
        <v>291</v>
      </c>
      <c r="H257" s="2025">
        <f>경영본부!H245</f>
        <v>5700</v>
      </c>
      <c r="I257" s="2039">
        <v>5700</v>
      </c>
      <c r="J257" s="265">
        <f t="shared" si="3"/>
        <v>0</v>
      </c>
    </row>
    <row r="258" spans="1:10" ht="18" customHeight="1">
      <c r="A258" s="266"/>
      <c r="B258" s="272"/>
      <c r="C258" s="274"/>
      <c r="D258" s="273"/>
      <c r="E258" s="274"/>
      <c r="F258" s="262" t="s">
        <v>347</v>
      </c>
      <c r="G258" s="264"/>
      <c r="H258" s="2024">
        <f>경영본부!H251</f>
        <v>3542713</v>
      </c>
      <c r="I258" s="2038">
        <v>3600295</v>
      </c>
      <c r="J258" s="265">
        <f t="shared" si="3"/>
        <v>-57582</v>
      </c>
    </row>
    <row r="259" spans="1:10" ht="18" customHeight="1">
      <c r="A259" s="193"/>
      <c r="B259" s="194"/>
      <c r="C259" s="276"/>
      <c r="D259" s="277"/>
      <c r="E259" s="276"/>
      <c r="F259" s="278"/>
      <c r="G259" s="279" t="s">
        <v>348</v>
      </c>
      <c r="H259" s="2025">
        <f>경영본부!H252</f>
        <v>238356</v>
      </c>
      <c r="I259" s="2039">
        <v>241392</v>
      </c>
      <c r="J259" s="265">
        <f t="shared" si="3"/>
        <v>-3036</v>
      </c>
    </row>
    <row r="260" spans="1:10" ht="18" customHeight="1">
      <c r="A260" s="193"/>
      <c r="B260" s="194"/>
      <c r="C260" s="276"/>
      <c r="D260" s="277"/>
      <c r="E260" s="276"/>
      <c r="F260" s="278"/>
      <c r="G260" s="279" t="s">
        <v>349</v>
      </c>
      <c r="H260" s="2025">
        <f>경영본부!H254</f>
        <v>319203</v>
      </c>
      <c r="I260" s="2039">
        <v>461412</v>
      </c>
      <c r="J260" s="265">
        <f t="shared" si="3"/>
        <v>-142209</v>
      </c>
    </row>
    <row r="261" spans="1:10" ht="18" customHeight="1">
      <c r="A261" s="193"/>
      <c r="B261" s="194"/>
      <c r="C261" s="276"/>
      <c r="D261" s="277"/>
      <c r="E261" s="276"/>
      <c r="F261" s="278"/>
      <c r="G261" s="279" t="s">
        <v>350</v>
      </c>
      <c r="H261" s="2025">
        <f>경영본부!H260</f>
        <v>2828156</v>
      </c>
      <c r="I261" s="2039">
        <v>2897491</v>
      </c>
      <c r="J261" s="265">
        <f t="shared" si="3"/>
        <v>-69335</v>
      </c>
    </row>
    <row r="262" spans="1:10" ht="18" customHeight="1">
      <c r="A262" s="193"/>
      <c r="B262" s="194"/>
      <c r="C262" s="276"/>
      <c r="D262" s="277"/>
      <c r="E262" s="276"/>
      <c r="F262" s="295"/>
      <c r="G262" s="278" t="s">
        <v>351</v>
      </c>
      <c r="H262" s="2025">
        <f>경영본부!H267</f>
        <v>156998</v>
      </c>
      <c r="I262" s="2039">
        <v>0</v>
      </c>
      <c r="J262" s="265">
        <f t="shared" si="3"/>
        <v>156998</v>
      </c>
    </row>
    <row r="263" spans="1:10" ht="18" customHeight="1">
      <c r="A263" s="266"/>
      <c r="B263" s="272"/>
      <c r="C263" s="274"/>
      <c r="D263" s="273"/>
      <c r="E263" s="274"/>
      <c r="F263" s="262" t="s">
        <v>352</v>
      </c>
      <c r="G263" s="264"/>
      <c r="H263" s="2024">
        <f>경영본부!H274</f>
        <v>19400</v>
      </c>
      <c r="I263" s="2038">
        <v>21200</v>
      </c>
      <c r="J263" s="265">
        <f t="shared" si="3"/>
        <v>-1800</v>
      </c>
    </row>
    <row r="264" spans="1:10" ht="18" customHeight="1">
      <c r="A264" s="193"/>
      <c r="B264" s="194"/>
      <c r="C264" s="276"/>
      <c r="D264" s="277"/>
      <c r="E264" s="276"/>
      <c r="F264" s="278"/>
      <c r="G264" s="279" t="s">
        <v>353</v>
      </c>
      <c r="H264" s="2025">
        <f>경영본부!H275</f>
        <v>19400</v>
      </c>
      <c r="I264" s="2039">
        <v>21200</v>
      </c>
      <c r="J264" s="265">
        <f t="shared" ref="J264:J327" si="4">H264-I264</f>
        <v>-1800</v>
      </c>
    </row>
    <row r="265" spans="1:10" ht="18" customHeight="1">
      <c r="A265" s="266"/>
      <c r="B265" s="272"/>
      <c r="C265" s="274"/>
      <c r="D265" s="273"/>
      <c r="E265" s="274"/>
      <c r="F265" s="262" t="s">
        <v>354</v>
      </c>
      <c r="G265" s="264"/>
      <c r="H265" s="2024">
        <f>경영본부!H277</f>
        <v>3300</v>
      </c>
      <c r="I265" s="2038">
        <v>4240</v>
      </c>
      <c r="J265" s="265">
        <f t="shared" si="4"/>
        <v>-940</v>
      </c>
    </row>
    <row r="266" spans="1:10" ht="18" customHeight="1">
      <c r="A266" s="193"/>
      <c r="B266" s="194"/>
      <c r="C266" s="276"/>
      <c r="D266" s="277"/>
      <c r="E266" s="276"/>
      <c r="F266" s="278"/>
      <c r="G266" s="278" t="s">
        <v>354</v>
      </c>
      <c r="H266" s="2025">
        <f>경영본부!H277</f>
        <v>3300</v>
      </c>
      <c r="I266" s="2039">
        <v>4240</v>
      </c>
      <c r="J266" s="265">
        <f t="shared" si="4"/>
        <v>-940</v>
      </c>
    </row>
    <row r="267" spans="1:10" ht="18" customHeight="1">
      <c r="A267" s="266"/>
      <c r="B267" s="272"/>
      <c r="C267" s="274"/>
      <c r="D267" s="274"/>
      <c r="E267" s="274"/>
      <c r="F267" s="262" t="s">
        <v>355</v>
      </c>
      <c r="G267" s="264"/>
      <c r="H267" s="2024">
        <v>0</v>
      </c>
      <c r="I267" s="2038">
        <v>0</v>
      </c>
      <c r="J267" s="265">
        <f t="shared" si="4"/>
        <v>0</v>
      </c>
    </row>
    <row r="268" spans="1:10" ht="18" customHeight="1">
      <c r="A268" s="193"/>
      <c r="B268" s="194"/>
      <c r="C268" s="276"/>
      <c r="D268" s="277"/>
      <c r="E268" s="280"/>
      <c r="F268" s="2048"/>
      <c r="G268" s="282" t="s">
        <v>185</v>
      </c>
      <c r="H268" s="2025">
        <v>0</v>
      </c>
      <c r="I268" s="2039">
        <v>0</v>
      </c>
      <c r="J268" s="265">
        <f t="shared" si="4"/>
        <v>0</v>
      </c>
    </row>
    <row r="269" spans="1:10" ht="18" customHeight="1">
      <c r="A269" s="266"/>
      <c r="B269" s="272"/>
      <c r="C269" s="274"/>
      <c r="D269" s="273"/>
      <c r="E269" s="262" t="s">
        <v>356</v>
      </c>
      <c r="F269" s="263"/>
      <c r="G269" s="264"/>
      <c r="H269" s="2024">
        <f>H270+H272+H275+H278</f>
        <v>149822</v>
      </c>
      <c r="I269" s="2038">
        <v>88499</v>
      </c>
      <c r="J269" s="265">
        <f t="shared" si="4"/>
        <v>61323</v>
      </c>
    </row>
    <row r="270" spans="1:10" ht="18" customHeight="1">
      <c r="A270" s="266"/>
      <c r="B270" s="272"/>
      <c r="C270" s="274"/>
      <c r="D270" s="273"/>
      <c r="E270" s="275"/>
      <c r="F270" s="262" t="s">
        <v>280</v>
      </c>
      <c r="G270" s="264"/>
      <c r="H270" s="2030">
        <f>경영본부!H285</f>
        <v>42632</v>
      </c>
      <c r="I270" s="2030">
        <v>36559</v>
      </c>
      <c r="J270" s="265">
        <f t="shared" si="4"/>
        <v>6073</v>
      </c>
    </row>
    <row r="271" spans="1:10" ht="18" customHeight="1">
      <c r="A271" s="193"/>
      <c r="B271" s="194"/>
      <c r="C271" s="276"/>
      <c r="D271" s="277"/>
      <c r="E271" s="276"/>
      <c r="F271" s="278"/>
      <c r="G271" s="279" t="s">
        <v>282</v>
      </c>
      <c r="H271" s="2031">
        <f>경영본부!H286</f>
        <v>42632</v>
      </c>
      <c r="I271" s="2031">
        <v>36559</v>
      </c>
      <c r="J271" s="265">
        <f t="shared" si="4"/>
        <v>6073</v>
      </c>
    </row>
    <row r="272" spans="1:10" ht="18" customHeight="1">
      <c r="A272" s="266"/>
      <c r="B272" s="272"/>
      <c r="C272" s="274"/>
      <c r="D272" s="273"/>
      <c r="E272" s="274"/>
      <c r="F272" s="262" t="s">
        <v>288</v>
      </c>
      <c r="G272" s="264"/>
      <c r="H272" s="2024">
        <f>경영본부!H301</f>
        <v>96150</v>
      </c>
      <c r="I272" s="2038">
        <v>41900</v>
      </c>
      <c r="J272" s="265">
        <f t="shared" si="4"/>
        <v>54250</v>
      </c>
    </row>
    <row r="273" spans="1:10" ht="18" customHeight="1">
      <c r="A273" s="193"/>
      <c r="B273" s="194"/>
      <c r="C273" s="276"/>
      <c r="D273" s="277"/>
      <c r="E273" s="276"/>
      <c r="F273" s="278"/>
      <c r="G273" s="279" t="s">
        <v>326</v>
      </c>
      <c r="H273" s="2025">
        <f>경영본부!H302</f>
        <v>16500</v>
      </c>
      <c r="I273" s="2039">
        <v>29200</v>
      </c>
      <c r="J273" s="265">
        <f t="shared" si="4"/>
        <v>-12700</v>
      </c>
    </row>
    <row r="274" spans="1:10" ht="18" customHeight="1">
      <c r="A274" s="193"/>
      <c r="B274" s="194"/>
      <c r="C274" s="276"/>
      <c r="D274" s="277"/>
      <c r="E274" s="276"/>
      <c r="F274" s="278"/>
      <c r="G274" s="279" t="s">
        <v>289</v>
      </c>
      <c r="H274" s="2025">
        <f>경영본부!H304</f>
        <v>79650</v>
      </c>
      <c r="I274" s="2039">
        <v>12700</v>
      </c>
      <c r="J274" s="265">
        <f t="shared" si="4"/>
        <v>66950</v>
      </c>
    </row>
    <row r="275" spans="1:10" ht="18" customHeight="1">
      <c r="A275" s="266"/>
      <c r="B275" s="272"/>
      <c r="C275" s="274"/>
      <c r="D275" s="273"/>
      <c r="E275" s="274"/>
      <c r="F275" s="262" t="s">
        <v>308</v>
      </c>
      <c r="G275" s="264"/>
      <c r="H275" s="2024">
        <f>경영본부!H310</f>
        <v>4240</v>
      </c>
      <c r="I275" s="2038">
        <v>4240</v>
      </c>
      <c r="J275" s="265">
        <f t="shared" si="4"/>
        <v>0</v>
      </c>
    </row>
    <row r="276" spans="1:10" ht="18" customHeight="1">
      <c r="A276" s="193"/>
      <c r="B276" s="194"/>
      <c r="C276" s="276"/>
      <c r="D276" s="277"/>
      <c r="E276" s="276"/>
      <c r="F276" s="278"/>
      <c r="G276" s="279" t="s">
        <v>357</v>
      </c>
      <c r="H276" s="2025">
        <f>경영본부!H311</f>
        <v>2240</v>
      </c>
      <c r="I276" s="2039">
        <v>2240</v>
      </c>
      <c r="J276" s="265">
        <f t="shared" si="4"/>
        <v>0</v>
      </c>
    </row>
    <row r="277" spans="1:10" ht="18" customHeight="1">
      <c r="A277" s="193"/>
      <c r="B277" s="194"/>
      <c r="C277" s="276"/>
      <c r="D277" s="277"/>
      <c r="E277" s="276"/>
      <c r="F277" s="278"/>
      <c r="G277" s="279" t="s">
        <v>309</v>
      </c>
      <c r="H277" s="2025">
        <f>경영본부!H314</f>
        <v>2000</v>
      </c>
      <c r="I277" s="2039">
        <v>2000</v>
      </c>
      <c r="J277" s="265">
        <f t="shared" si="4"/>
        <v>0</v>
      </c>
    </row>
    <row r="278" spans="1:10" ht="18" customHeight="1">
      <c r="A278" s="266"/>
      <c r="B278" s="272"/>
      <c r="C278" s="274"/>
      <c r="D278" s="273"/>
      <c r="E278" s="274"/>
      <c r="F278" s="262" t="s">
        <v>358</v>
      </c>
      <c r="G278" s="264"/>
      <c r="H278" s="2024">
        <f>경영본부!H320</f>
        <v>6800</v>
      </c>
      <c r="I278" s="2038">
        <v>5800</v>
      </c>
      <c r="J278" s="265">
        <f t="shared" si="4"/>
        <v>1000</v>
      </c>
    </row>
    <row r="279" spans="1:10" ht="18" customHeight="1">
      <c r="A279" s="193"/>
      <c r="B279" s="194"/>
      <c r="C279" s="276"/>
      <c r="D279" s="277"/>
      <c r="E279" s="280"/>
      <c r="F279" s="2048"/>
      <c r="G279" s="282" t="s">
        <v>358</v>
      </c>
      <c r="H279" s="2025">
        <f>경영본부!H321</f>
        <v>6800</v>
      </c>
      <c r="I279" s="2039">
        <v>5800</v>
      </c>
      <c r="J279" s="265">
        <f t="shared" si="4"/>
        <v>1000</v>
      </c>
    </row>
    <row r="280" spans="1:10" ht="18" customHeight="1">
      <c r="A280" s="193"/>
      <c r="B280" s="194"/>
      <c r="C280" s="276"/>
      <c r="D280" s="262" t="s">
        <v>359</v>
      </c>
      <c r="E280" s="263"/>
      <c r="F280" s="263"/>
      <c r="G280" s="264"/>
      <c r="H280" s="2024">
        <f>H281</f>
        <v>12174716</v>
      </c>
      <c r="I280" s="2038">
        <v>10934833</v>
      </c>
      <c r="J280" s="265">
        <f t="shared" si="4"/>
        <v>1239883</v>
      </c>
    </row>
    <row r="281" spans="1:10" ht="18" customHeight="1">
      <c r="A281" s="266"/>
      <c r="B281" s="272"/>
      <c r="C281" s="274"/>
      <c r="D281" s="273"/>
      <c r="E281" s="284" t="s">
        <v>360</v>
      </c>
      <c r="F281" s="285"/>
      <c r="G281" s="286"/>
      <c r="H281" s="2024">
        <f>H282+H286+H288</f>
        <v>12174716</v>
      </c>
      <c r="I281" s="2038">
        <v>10934833</v>
      </c>
      <c r="J281" s="265">
        <f t="shared" si="4"/>
        <v>1239883</v>
      </c>
    </row>
    <row r="282" spans="1:10" ht="18" customHeight="1">
      <c r="A282" s="266"/>
      <c r="B282" s="272"/>
      <c r="C282" s="274"/>
      <c r="D282" s="273"/>
      <c r="E282" s="275"/>
      <c r="F282" s="262" t="s">
        <v>278</v>
      </c>
      <c r="G282" s="264"/>
      <c r="H282" s="2024">
        <f>경영본부!H339</f>
        <v>10291836</v>
      </c>
      <c r="I282" s="2038">
        <v>9163300</v>
      </c>
      <c r="J282" s="265">
        <f t="shared" si="4"/>
        <v>1128536</v>
      </c>
    </row>
    <row r="283" spans="1:10" ht="18" customHeight="1">
      <c r="A283" s="193"/>
      <c r="B283" s="194"/>
      <c r="C283" s="276"/>
      <c r="D283" s="277"/>
      <c r="E283" s="276"/>
      <c r="F283" s="2048"/>
      <c r="G283" s="282" t="s">
        <v>361</v>
      </c>
      <c r="H283" s="2025">
        <f>경영본부!H340</f>
        <v>4844012</v>
      </c>
      <c r="I283" s="2039">
        <v>4562024</v>
      </c>
      <c r="J283" s="265">
        <f t="shared" si="4"/>
        <v>281988</v>
      </c>
    </row>
    <row r="284" spans="1:10" ht="18" customHeight="1">
      <c r="A284" s="193"/>
      <c r="B284" s="194"/>
      <c r="C284" s="276"/>
      <c r="D284" s="277"/>
      <c r="E284" s="276"/>
      <c r="F284" s="2048"/>
      <c r="G284" s="282" t="s">
        <v>325</v>
      </c>
      <c r="H284" s="2025">
        <f>경영본부!H498</f>
        <v>5400015</v>
      </c>
      <c r="I284" s="2039">
        <v>4558177</v>
      </c>
      <c r="J284" s="265">
        <f t="shared" si="4"/>
        <v>841838</v>
      </c>
    </row>
    <row r="285" spans="1:10" ht="18" customHeight="1">
      <c r="A285" s="193"/>
      <c r="B285" s="194"/>
      <c r="C285" s="276"/>
      <c r="D285" s="277"/>
      <c r="E285" s="276"/>
      <c r="F285" s="2048"/>
      <c r="G285" s="282" t="s">
        <v>279</v>
      </c>
      <c r="H285" s="2025">
        <f>경영본부!H538</f>
        <v>47809</v>
      </c>
      <c r="I285" s="2039">
        <v>43099</v>
      </c>
      <c r="J285" s="265">
        <f t="shared" si="4"/>
        <v>4710</v>
      </c>
    </row>
    <row r="286" spans="1:10" ht="18" customHeight="1">
      <c r="A286" s="266"/>
      <c r="B286" s="272"/>
      <c r="C286" s="274"/>
      <c r="D286" s="273"/>
      <c r="E286" s="274"/>
      <c r="F286" s="262" t="s">
        <v>362</v>
      </c>
      <c r="G286" s="264"/>
      <c r="H286" s="2024">
        <f>경영본부!H547</f>
        <v>1000000</v>
      </c>
      <c r="I286" s="2038">
        <v>1000000</v>
      </c>
      <c r="J286" s="265">
        <f t="shared" si="4"/>
        <v>0</v>
      </c>
    </row>
    <row r="287" spans="1:10" ht="18" customHeight="1">
      <c r="A287" s="193"/>
      <c r="B287" s="194"/>
      <c r="C287" s="276"/>
      <c r="D287" s="277"/>
      <c r="E287" s="276"/>
      <c r="F287" s="2048"/>
      <c r="G287" s="282" t="s">
        <v>362</v>
      </c>
      <c r="H287" s="2025">
        <f>경영본부!H547</f>
        <v>1000000</v>
      </c>
      <c r="I287" s="2039">
        <v>1000000</v>
      </c>
      <c r="J287" s="265">
        <f t="shared" si="4"/>
        <v>0</v>
      </c>
    </row>
    <row r="288" spans="1:10" ht="18" customHeight="1">
      <c r="A288" s="266"/>
      <c r="B288" s="272"/>
      <c r="C288" s="274"/>
      <c r="D288" s="273"/>
      <c r="E288" s="274"/>
      <c r="F288" s="262" t="s">
        <v>363</v>
      </c>
      <c r="G288" s="264"/>
      <c r="H288" s="2023">
        <f>경영본부!H549</f>
        <v>882880</v>
      </c>
      <c r="I288" s="2037">
        <v>771533</v>
      </c>
      <c r="J288" s="265">
        <f t="shared" si="4"/>
        <v>111347</v>
      </c>
    </row>
    <row r="289" spans="1:10" ht="18" customHeight="1">
      <c r="A289" s="266"/>
      <c r="B289" s="272"/>
      <c r="C289" s="274"/>
      <c r="D289" s="273"/>
      <c r="E289" s="274"/>
      <c r="F289" s="309"/>
      <c r="G289" s="310" t="s">
        <v>364</v>
      </c>
      <c r="H289" s="2027">
        <f>경영본부!H550</f>
        <v>608880</v>
      </c>
      <c r="I289" s="2041">
        <v>579733</v>
      </c>
      <c r="J289" s="265">
        <f t="shared" si="4"/>
        <v>29147</v>
      </c>
    </row>
    <row r="290" spans="1:10" ht="18" customHeight="1" thickBot="1">
      <c r="A290" s="193"/>
      <c r="B290" s="194"/>
      <c r="C290" s="276"/>
      <c r="D290" s="277"/>
      <c r="E290" s="311"/>
      <c r="F290" s="312"/>
      <c r="G290" s="313" t="s">
        <v>365</v>
      </c>
      <c r="H290" s="2027">
        <f>경영본부!H553</f>
        <v>274000</v>
      </c>
      <c r="I290" s="2041">
        <v>191800</v>
      </c>
      <c r="J290" s="318">
        <f t="shared" si="4"/>
        <v>82200</v>
      </c>
    </row>
    <row r="291" spans="1:10" ht="18" customHeight="1">
      <c r="A291" s="314" t="s">
        <v>132</v>
      </c>
      <c r="B291" s="315"/>
      <c r="C291" s="315"/>
      <c r="D291" s="315"/>
      <c r="E291" s="315"/>
      <c r="F291" s="315"/>
      <c r="G291" s="316"/>
      <c r="H291" s="2020">
        <f>H292</f>
        <v>4109661</v>
      </c>
      <c r="I291" s="2044">
        <v>1609990</v>
      </c>
      <c r="J291" s="260">
        <f t="shared" si="4"/>
        <v>2499671</v>
      </c>
    </row>
    <row r="292" spans="1:10" ht="18" customHeight="1">
      <c r="A292" s="261"/>
      <c r="B292" s="262" t="s">
        <v>274</v>
      </c>
      <c r="C292" s="263"/>
      <c r="D292" s="263"/>
      <c r="E292" s="263"/>
      <c r="F292" s="263"/>
      <c r="G292" s="264"/>
      <c r="H292" s="2021">
        <f>H293+H306+H323+H345</f>
        <v>4109661</v>
      </c>
      <c r="I292" s="2035">
        <v>1609990</v>
      </c>
      <c r="J292" s="265">
        <f t="shared" si="4"/>
        <v>2499671</v>
      </c>
    </row>
    <row r="293" spans="1:10" ht="18" customHeight="1">
      <c r="A293" s="266"/>
      <c r="B293" s="267"/>
      <c r="C293" s="268" t="s">
        <v>275</v>
      </c>
      <c r="D293" s="269"/>
      <c r="E293" s="269"/>
      <c r="F293" s="269"/>
      <c r="G293" s="270"/>
      <c r="H293" s="2022">
        <f>H294+H298+H302</f>
        <v>37600</v>
      </c>
      <c r="I293" s="2036">
        <v>166750</v>
      </c>
      <c r="J293" s="271">
        <f t="shared" si="4"/>
        <v>-129150</v>
      </c>
    </row>
    <row r="294" spans="1:10" ht="18" customHeight="1">
      <c r="A294" s="266"/>
      <c r="B294" s="272"/>
      <c r="C294" s="273"/>
      <c r="D294" s="262" t="s">
        <v>276</v>
      </c>
      <c r="E294" s="263"/>
      <c r="F294" s="263"/>
      <c r="G294" s="264"/>
      <c r="H294" s="2023">
        <f>H295</f>
        <v>30000</v>
      </c>
      <c r="I294" s="2037">
        <v>150000</v>
      </c>
      <c r="J294" s="265">
        <f t="shared" si="4"/>
        <v>-120000</v>
      </c>
    </row>
    <row r="295" spans="1:10" ht="18" customHeight="1">
      <c r="A295" s="266"/>
      <c r="B295" s="272"/>
      <c r="C295" s="274"/>
      <c r="D295" s="275"/>
      <c r="E295" s="262" t="s">
        <v>366</v>
      </c>
      <c r="F295" s="263"/>
      <c r="G295" s="264"/>
      <c r="H295" s="2024">
        <f>H296</f>
        <v>30000</v>
      </c>
      <c r="I295" s="2038">
        <v>150000</v>
      </c>
      <c r="J295" s="265">
        <f t="shared" si="4"/>
        <v>-120000</v>
      </c>
    </row>
    <row r="296" spans="1:10" ht="18" customHeight="1">
      <c r="A296" s="266"/>
      <c r="B296" s="272"/>
      <c r="C296" s="274"/>
      <c r="D296" s="273"/>
      <c r="E296" s="275"/>
      <c r="F296" s="262" t="s">
        <v>367</v>
      </c>
      <c r="G296" s="264"/>
      <c r="H296" s="2024">
        <f>교통휴양시설부!H309</f>
        <v>30000</v>
      </c>
      <c r="I296" s="2038">
        <v>150000</v>
      </c>
      <c r="J296" s="265">
        <f t="shared" si="4"/>
        <v>-120000</v>
      </c>
    </row>
    <row r="297" spans="1:10" ht="18" customHeight="1">
      <c r="A297" s="193"/>
      <c r="B297" s="194"/>
      <c r="C297" s="277"/>
      <c r="D297" s="280"/>
      <c r="E297" s="280"/>
      <c r="F297" s="278"/>
      <c r="G297" s="282" t="s">
        <v>207</v>
      </c>
      <c r="H297" s="2025">
        <f>교통휴양시설부!H310</f>
        <v>30000</v>
      </c>
      <c r="I297" s="2039">
        <v>150000</v>
      </c>
      <c r="J297" s="265">
        <f t="shared" si="4"/>
        <v>-120000</v>
      </c>
    </row>
    <row r="298" spans="1:10" ht="18" customHeight="1">
      <c r="A298" s="266"/>
      <c r="B298" s="272"/>
      <c r="C298" s="273"/>
      <c r="D298" s="262" t="s">
        <v>299</v>
      </c>
      <c r="E298" s="263"/>
      <c r="F298" s="263"/>
      <c r="G298" s="264"/>
      <c r="H298" s="2023">
        <f>H299</f>
        <v>2600</v>
      </c>
      <c r="I298" s="2037">
        <v>1750</v>
      </c>
      <c r="J298" s="265">
        <f t="shared" si="4"/>
        <v>850</v>
      </c>
    </row>
    <row r="299" spans="1:10" ht="18" customHeight="1">
      <c r="A299" s="266"/>
      <c r="B299" s="272"/>
      <c r="C299" s="274"/>
      <c r="D299" s="275"/>
      <c r="E299" s="262" t="s">
        <v>368</v>
      </c>
      <c r="F299" s="263"/>
      <c r="G299" s="264"/>
      <c r="H299" s="2024">
        <f>H300</f>
        <v>2600</v>
      </c>
      <c r="I299" s="2038">
        <v>1750</v>
      </c>
      <c r="J299" s="265">
        <f t="shared" si="4"/>
        <v>850</v>
      </c>
    </row>
    <row r="300" spans="1:10" ht="18" customHeight="1">
      <c r="A300" s="266"/>
      <c r="B300" s="272"/>
      <c r="C300" s="274"/>
      <c r="D300" s="273"/>
      <c r="E300" s="275"/>
      <c r="F300" s="262" t="s">
        <v>367</v>
      </c>
      <c r="G300" s="264"/>
      <c r="H300" s="2024">
        <f>교통휴양시설부!H315</f>
        <v>2600</v>
      </c>
      <c r="I300" s="2038">
        <v>1750</v>
      </c>
      <c r="J300" s="265">
        <f t="shared" si="4"/>
        <v>850</v>
      </c>
    </row>
    <row r="301" spans="1:10" ht="18" customHeight="1">
      <c r="A301" s="193"/>
      <c r="B301" s="194"/>
      <c r="C301" s="277"/>
      <c r="D301" s="280"/>
      <c r="E301" s="280"/>
      <c r="F301" s="2048"/>
      <c r="G301" s="282" t="s">
        <v>207</v>
      </c>
      <c r="H301" s="2025">
        <f>교통휴양시설부!H316</f>
        <v>2600</v>
      </c>
      <c r="I301" s="2039">
        <v>1750</v>
      </c>
      <c r="J301" s="265">
        <f t="shared" si="4"/>
        <v>850</v>
      </c>
    </row>
    <row r="302" spans="1:10" ht="18" customHeight="1">
      <c r="A302" s="266"/>
      <c r="B302" s="272"/>
      <c r="C302" s="273"/>
      <c r="D302" s="262" t="s">
        <v>303</v>
      </c>
      <c r="E302" s="263"/>
      <c r="F302" s="263"/>
      <c r="G302" s="264"/>
      <c r="H302" s="2023">
        <f>H303</f>
        <v>5000</v>
      </c>
      <c r="I302" s="2037">
        <v>15000</v>
      </c>
      <c r="J302" s="265">
        <f t="shared" si="4"/>
        <v>-10000</v>
      </c>
    </row>
    <row r="303" spans="1:10" ht="18" customHeight="1">
      <c r="A303" s="266"/>
      <c r="B303" s="272"/>
      <c r="C303" s="274"/>
      <c r="D303" s="275"/>
      <c r="E303" s="317" t="s">
        <v>369</v>
      </c>
      <c r="F303" s="263"/>
      <c r="G303" s="264"/>
      <c r="H303" s="2024">
        <f>H304</f>
        <v>5000</v>
      </c>
      <c r="I303" s="2038">
        <v>15000</v>
      </c>
      <c r="J303" s="265">
        <f t="shared" si="4"/>
        <v>-10000</v>
      </c>
    </row>
    <row r="304" spans="1:10" ht="18" customHeight="1">
      <c r="A304" s="266"/>
      <c r="B304" s="272"/>
      <c r="C304" s="274"/>
      <c r="D304" s="273"/>
      <c r="E304" s="275"/>
      <c r="F304" s="262" t="s">
        <v>367</v>
      </c>
      <c r="G304" s="264"/>
      <c r="H304" s="2024">
        <f>교통휴양시설부!H322</f>
        <v>5000</v>
      </c>
      <c r="I304" s="2038">
        <v>15000</v>
      </c>
      <c r="J304" s="265">
        <f t="shared" si="4"/>
        <v>-10000</v>
      </c>
    </row>
    <row r="305" spans="1:10" ht="18" customHeight="1">
      <c r="A305" s="193"/>
      <c r="B305" s="194"/>
      <c r="C305" s="277"/>
      <c r="D305" s="280"/>
      <c r="E305" s="280"/>
      <c r="F305" s="2048"/>
      <c r="G305" s="282" t="s">
        <v>207</v>
      </c>
      <c r="H305" s="2025">
        <f>교통휴양시설부!H323</f>
        <v>5000</v>
      </c>
      <c r="I305" s="2039">
        <v>15000</v>
      </c>
      <c r="J305" s="265">
        <f t="shared" si="4"/>
        <v>-10000</v>
      </c>
    </row>
    <row r="306" spans="1:10" ht="18" customHeight="1">
      <c r="A306" s="266"/>
      <c r="B306" s="272"/>
      <c r="C306" s="290" t="s">
        <v>141</v>
      </c>
      <c r="D306" s="291"/>
      <c r="E306" s="291"/>
      <c r="F306" s="291"/>
      <c r="G306" s="292"/>
      <c r="H306" s="2026">
        <f>H307+H311+H315+H319</f>
        <v>141900</v>
      </c>
      <c r="I306" s="2040">
        <v>20640</v>
      </c>
      <c r="J306" s="293">
        <f t="shared" si="4"/>
        <v>121260</v>
      </c>
    </row>
    <row r="307" spans="1:10" ht="18" customHeight="1">
      <c r="A307" s="266"/>
      <c r="B307" s="272"/>
      <c r="C307" s="273"/>
      <c r="D307" s="262" t="s">
        <v>306</v>
      </c>
      <c r="E307" s="263"/>
      <c r="F307" s="263"/>
      <c r="G307" s="264"/>
      <c r="H307" s="2023">
        <f>H308</f>
        <v>75800</v>
      </c>
      <c r="I307" s="2037">
        <v>19170</v>
      </c>
      <c r="J307" s="265">
        <f t="shared" si="4"/>
        <v>56630</v>
      </c>
    </row>
    <row r="308" spans="1:10" ht="18" customHeight="1">
      <c r="A308" s="266"/>
      <c r="B308" s="272"/>
      <c r="C308" s="274"/>
      <c r="D308" s="275"/>
      <c r="E308" s="262" t="s">
        <v>370</v>
      </c>
      <c r="F308" s="263"/>
      <c r="G308" s="264"/>
      <c r="H308" s="2024">
        <f>H309</f>
        <v>75800</v>
      </c>
      <c r="I308" s="2038">
        <v>19170</v>
      </c>
      <c r="J308" s="265">
        <f t="shared" si="4"/>
        <v>56630</v>
      </c>
    </row>
    <row r="309" spans="1:10" ht="18" customHeight="1">
      <c r="A309" s="266"/>
      <c r="B309" s="272"/>
      <c r="C309" s="274"/>
      <c r="D309" s="273"/>
      <c r="E309" s="275"/>
      <c r="F309" s="262" t="s">
        <v>367</v>
      </c>
      <c r="G309" s="264"/>
      <c r="H309" s="2024">
        <f>체육시설부!H340</f>
        <v>75800</v>
      </c>
      <c r="I309" s="2038">
        <v>19170</v>
      </c>
      <c r="J309" s="265">
        <f t="shared" si="4"/>
        <v>56630</v>
      </c>
    </row>
    <row r="310" spans="1:10" ht="18" customHeight="1">
      <c r="A310" s="193"/>
      <c r="B310" s="194"/>
      <c r="C310" s="276"/>
      <c r="D310" s="277"/>
      <c r="E310" s="280"/>
      <c r="F310" s="2048"/>
      <c r="G310" s="282" t="s">
        <v>207</v>
      </c>
      <c r="H310" s="2025">
        <f>체육시설부!H341</f>
        <v>75800</v>
      </c>
      <c r="I310" s="2039">
        <v>19170</v>
      </c>
      <c r="J310" s="265">
        <f t="shared" si="4"/>
        <v>56630</v>
      </c>
    </row>
    <row r="311" spans="1:10" ht="18" customHeight="1">
      <c r="A311" s="266"/>
      <c r="B311" s="272"/>
      <c r="C311" s="273"/>
      <c r="D311" s="262" t="s">
        <v>314</v>
      </c>
      <c r="E311" s="263"/>
      <c r="F311" s="263"/>
      <c r="G311" s="264"/>
      <c r="H311" s="2023">
        <f>H312</f>
        <v>38900</v>
      </c>
      <c r="I311" s="2037">
        <v>1470</v>
      </c>
      <c r="J311" s="265">
        <f t="shared" si="4"/>
        <v>37430</v>
      </c>
    </row>
    <row r="312" spans="1:10" ht="18" customHeight="1">
      <c r="A312" s="266"/>
      <c r="B312" s="272"/>
      <c r="C312" s="274"/>
      <c r="D312" s="274"/>
      <c r="E312" s="262" t="s">
        <v>371</v>
      </c>
      <c r="F312" s="263"/>
      <c r="G312" s="264"/>
      <c r="H312" s="2024">
        <f>H313</f>
        <v>38900</v>
      </c>
      <c r="I312" s="2038">
        <v>1470</v>
      </c>
      <c r="J312" s="265">
        <f t="shared" si="4"/>
        <v>37430</v>
      </c>
    </row>
    <row r="313" spans="1:10" ht="18" customHeight="1">
      <c r="A313" s="266"/>
      <c r="B313" s="272"/>
      <c r="C313" s="274"/>
      <c r="D313" s="273"/>
      <c r="E313" s="275"/>
      <c r="F313" s="262" t="s">
        <v>367</v>
      </c>
      <c r="G313" s="264"/>
      <c r="H313" s="2024">
        <f>체육시설부!H350</f>
        <v>38900</v>
      </c>
      <c r="I313" s="2038">
        <v>1470</v>
      </c>
      <c r="J313" s="265">
        <f t="shared" si="4"/>
        <v>37430</v>
      </c>
    </row>
    <row r="314" spans="1:10" ht="18" customHeight="1">
      <c r="A314" s="193"/>
      <c r="B314" s="194"/>
      <c r="C314" s="276"/>
      <c r="D314" s="277"/>
      <c r="E314" s="280"/>
      <c r="F314" s="2048"/>
      <c r="G314" s="282" t="s">
        <v>207</v>
      </c>
      <c r="H314" s="2025">
        <f>체육시설부!H351</f>
        <v>38900</v>
      </c>
      <c r="I314" s="2039">
        <v>1470</v>
      </c>
      <c r="J314" s="265">
        <f t="shared" si="4"/>
        <v>37430</v>
      </c>
    </row>
    <row r="315" spans="1:10" ht="18" customHeight="1">
      <c r="A315" s="266"/>
      <c r="B315" s="272"/>
      <c r="C315" s="273"/>
      <c r="D315" s="262" t="s">
        <v>317</v>
      </c>
      <c r="E315" s="263"/>
      <c r="F315" s="263"/>
      <c r="G315" s="264"/>
      <c r="H315" s="2023">
        <f>H316</f>
        <v>27200</v>
      </c>
      <c r="I315" s="2037">
        <v>0</v>
      </c>
      <c r="J315" s="265">
        <f t="shared" si="4"/>
        <v>27200</v>
      </c>
    </row>
    <row r="316" spans="1:10" ht="18" customHeight="1">
      <c r="A316" s="266"/>
      <c r="B316" s="272"/>
      <c r="C316" s="274"/>
      <c r="D316" s="274"/>
      <c r="E316" s="262" t="s">
        <v>372</v>
      </c>
      <c r="F316" s="263"/>
      <c r="G316" s="264"/>
      <c r="H316" s="2024">
        <f>H317</f>
        <v>27200</v>
      </c>
      <c r="I316" s="2038">
        <v>0</v>
      </c>
      <c r="J316" s="265">
        <f t="shared" si="4"/>
        <v>27200</v>
      </c>
    </row>
    <row r="317" spans="1:10" ht="18" customHeight="1">
      <c r="A317" s="266"/>
      <c r="B317" s="272"/>
      <c r="C317" s="274"/>
      <c r="D317" s="273"/>
      <c r="E317" s="275"/>
      <c r="F317" s="262" t="s">
        <v>367</v>
      </c>
      <c r="G317" s="264"/>
      <c r="H317" s="2023">
        <f>체육시설부!H359</f>
        <v>27200</v>
      </c>
      <c r="I317" s="2037">
        <v>0</v>
      </c>
      <c r="J317" s="265">
        <f t="shared" si="4"/>
        <v>27200</v>
      </c>
    </row>
    <row r="318" spans="1:10" ht="18" customHeight="1">
      <c r="A318" s="193"/>
      <c r="B318" s="194"/>
      <c r="C318" s="276"/>
      <c r="D318" s="280"/>
      <c r="E318" s="280"/>
      <c r="F318" s="2048"/>
      <c r="G318" s="282" t="s">
        <v>207</v>
      </c>
      <c r="H318" s="2027">
        <f>체육시설부!H360</f>
        <v>27200</v>
      </c>
      <c r="I318" s="2041">
        <v>0</v>
      </c>
      <c r="J318" s="265">
        <f t="shared" si="4"/>
        <v>27200</v>
      </c>
    </row>
    <row r="319" spans="1:10" ht="18" customHeight="1">
      <c r="A319" s="193"/>
      <c r="B319" s="194"/>
      <c r="C319" s="276"/>
      <c r="D319" s="302" t="s">
        <v>320</v>
      </c>
      <c r="E319" s="302"/>
      <c r="F319" s="288"/>
      <c r="G319" s="282"/>
      <c r="H319" s="2023">
        <f>H320</f>
        <v>0</v>
      </c>
      <c r="I319" s="2037">
        <v>0</v>
      </c>
      <c r="J319" s="265">
        <f t="shared" si="4"/>
        <v>0</v>
      </c>
    </row>
    <row r="320" spans="1:10" ht="18" customHeight="1">
      <c r="A320" s="193"/>
      <c r="B320" s="194"/>
      <c r="C320" s="276"/>
      <c r="D320" s="275"/>
      <c r="E320" s="302" t="s">
        <v>373</v>
      </c>
      <c r="F320" s="288"/>
      <c r="G320" s="282"/>
      <c r="H320" s="2023">
        <f>H321</f>
        <v>0</v>
      </c>
      <c r="I320" s="2037">
        <v>0</v>
      </c>
      <c r="J320" s="265">
        <f t="shared" si="4"/>
        <v>0</v>
      </c>
    </row>
    <row r="321" spans="1:10" ht="18" customHeight="1">
      <c r="A321" s="193"/>
      <c r="B321" s="194"/>
      <c r="C321" s="276"/>
      <c r="D321" s="274"/>
      <c r="E321" s="275"/>
      <c r="F321" s="288" t="s">
        <v>374</v>
      </c>
      <c r="G321" s="282"/>
      <c r="H321" s="2023">
        <f>체육시설부!H369</f>
        <v>0</v>
      </c>
      <c r="I321" s="2037">
        <v>0</v>
      </c>
      <c r="J321" s="265">
        <f t="shared" si="4"/>
        <v>0</v>
      </c>
    </row>
    <row r="322" spans="1:10" ht="18" customHeight="1">
      <c r="A322" s="193"/>
      <c r="B322" s="194"/>
      <c r="C322" s="280"/>
      <c r="D322" s="280"/>
      <c r="E322" s="280"/>
      <c r="F322" s="289"/>
      <c r="G322" s="278" t="s">
        <v>207</v>
      </c>
      <c r="H322" s="2027">
        <f>체육시설부!H370</f>
        <v>0</v>
      </c>
      <c r="I322" s="2041">
        <v>0</v>
      </c>
      <c r="J322" s="265">
        <f t="shared" si="4"/>
        <v>0</v>
      </c>
    </row>
    <row r="323" spans="1:10" ht="18" customHeight="1">
      <c r="A323" s="266"/>
      <c r="B323" s="272"/>
      <c r="C323" s="298" t="s">
        <v>142</v>
      </c>
      <c r="D323" s="299"/>
      <c r="E323" s="299"/>
      <c r="F323" s="299"/>
      <c r="G323" s="300"/>
      <c r="H323" s="2028">
        <f>H324+H331+H335</f>
        <v>3428809</v>
      </c>
      <c r="I323" s="2042">
        <v>914600</v>
      </c>
      <c r="J323" s="301">
        <f t="shared" si="4"/>
        <v>2514209</v>
      </c>
    </row>
    <row r="324" spans="1:10" ht="18" customHeight="1">
      <c r="A324" s="266"/>
      <c r="B324" s="272"/>
      <c r="C324" s="273"/>
      <c r="D324" s="262" t="s">
        <v>323</v>
      </c>
      <c r="E324" s="263"/>
      <c r="F324" s="263"/>
      <c r="G324" s="264"/>
      <c r="H324" s="2023">
        <f>H325+H328</f>
        <v>628009</v>
      </c>
      <c r="I324" s="2037">
        <v>707000</v>
      </c>
      <c r="J324" s="265">
        <f t="shared" si="4"/>
        <v>-78991</v>
      </c>
    </row>
    <row r="325" spans="1:10" ht="18" customHeight="1">
      <c r="A325" s="266"/>
      <c r="B325" s="272"/>
      <c r="C325" s="274"/>
      <c r="D325" s="275"/>
      <c r="E325" s="262" t="s">
        <v>375</v>
      </c>
      <c r="F325" s="263"/>
      <c r="G325" s="264"/>
      <c r="H325" s="2024">
        <f>H326</f>
        <v>628009</v>
      </c>
      <c r="I325" s="2038">
        <v>707000</v>
      </c>
      <c r="J325" s="265">
        <f t="shared" si="4"/>
        <v>-78991</v>
      </c>
    </row>
    <row r="326" spans="1:10" ht="18" customHeight="1">
      <c r="A326" s="266"/>
      <c r="B326" s="272"/>
      <c r="C326" s="274"/>
      <c r="D326" s="273"/>
      <c r="E326" s="275"/>
      <c r="F326" s="262" t="s">
        <v>367</v>
      </c>
      <c r="G326" s="264"/>
      <c r="H326" s="2024">
        <f>도시미화부!H268</f>
        <v>628009</v>
      </c>
      <c r="I326" s="2038">
        <v>707000</v>
      </c>
      <c r="J326" s="265">
        <f t="shared" si="4"/>
        <v>-78991</v>
      </c>
    </row>
    <row r="327" spans="1:10" ht="18" customHeight="1">
      <c r="A327" s="193"/>
      <c r="B327" s="194"/>
      <c r="C327" s="276"/>
      <c r="D327" s="277"/>
      <c r="E327" s="280"/>
      <c r="F327" s="2048"/>
      <c r="G327" s="282" t="s">
        <v>207</v>
      </c>
      <c r="H327" s="2025">
        <f>도시미화부!H269</f>
        <v>628009</v>
      </c>
      <c r="I327" s="2039">
        <v>707000</v>
      </c>
      <c r="J327" s="265">
        <f t="shared" si="4"/>
        <v>-78991</v>
      </c>
    </row>
    <row r="328" spans="1:10" ht="18" customHeight="1">
      <c r="A328" s="266"/>
      <c r="B328" s="272"/>
      <c r="C328" s="274"/>
      <c r="D328" s="273"/>
      <c r="E328" s="262" t="s">
        <v>376</v>
      </c>
      <c r="F328" s="263"/>
      <c r="G328" s="264"/>
      <c r="H328" s="2024">
        <f>H329</f>
        <v>0</v>
      </c>
      <c r="I328" s="2038">
        <v>0</v>
      </c>
      <c r="J328" s="265">
        <f t="shared" ref="J328:J352" si="5">H328-I328</f>
        <v>0</v>
      </c>
    </row>
    <row r="329" spans="1:10" ht="18" customHeight="1">
      <c r="A329" s="266"/>
      <c r="B329" s="272"/>
      <c r="C329" s="274"/>
      <c r="D329" s="274"/>
      <c r="E329" s="287"/>
      <c r="F329" s="262" t="s">
        <v>367</v>
      </c>
      <c r="G329" s="264"/>
      <c r="H329" s="2024">
        <f>도시미화부!H277</f>
        <v>0</v>
      </c>
      <c r="I329" s="2038">
        <v>0</v>
      </c>
      <c r="J329" s="265">
        <f t="shared" si="5"/>
        <v>0</v>
      </c>
    </row>
    <row r="330" spans="1:10" ht="18" customHeight="1">
      <c r="A330" s="193"/>
      <c r="B330" s="194"/>
      <c r="C330" s="276"/>
      <c r="D330" s="277"/>
      <c r="E330" s="280"/>
      <c r="F330" s="2048"/>
      <c r="G330" s="282" t="s">
        <v>207</v>
      </c>
      <c r="H330" s="2025">
        <f>도시미화부!H278</f>
        <v>0</v>
      </c>
      <c r="I330" s="2039">
        <v>0</v>
      </c>
      <c r="J330" s="265">
        <f t="shared" si="5"/>
        <v>0</v>
      </c>
    </row>
    <row r="331" spans="1:10" ht="18" customHeight="1">
      <c r="A331" s="266"/>
      <c r="B331" s="272"/>
      <c r="C331" s="273"/>
      <c r="D331" s="262" t="s">
        <v>331</v>
      </c>
      <c r="E331" s="263"/>
      <c r="F331" s="263"/>
      <c r="G331" s="264"/>
      <c r="H331" s="2023">
        <f>H332</f>
        <v>0</v>
      </c>
      <c r="I331" s="2037">
        <v>0</v>
      </c>
      <c r="J331" s="265">
        <f t="shared" si="5"/>
        <v>0</v>
      </c>
    </row>
    <row r="332" spans="1:10" ht="18" customHeight="1">
      <c r="A332" s="266"/>
      <c r="B332" s="272"/>
      <c r="C332" s="274"/>
      <c r="D332" s="273"/>
      <c r="E332" s="262" t="s">
        <v>377</v>
      </c>
      <c r="F332" s="263"/>
      <c r="G332" s="264"/>
      <c r="H332" s="2024">
        <f>H333</f>
        <v>0</v>
      </c>
      <c r="I332" s="2038">
        <v>0</v>
      </c>
      <c r="J332" s="265">
        <f t="shared" si="5"/>
        <v>0</v>
      </c>
    </row>
    <row r="333" spans="1:10" ht="18" customHeight="1">
      <c r="A333" s="266"/>
      <c r="B333" s="272"/>
      <c r="C333" s="274"/>
      <c r="D333" s="274"/>
      <c r="E333" s="287"/>
      <c r="F333" s="262" t="s">
        <v>367</v>
      </c>
      <c r="G333" s="264"/>
      <c r="H333" s="2024">
        <f>도시미화부!H282</f>
        <v>0</v>
      </c>
      <c r="I333" s="2038">
        <v>0</v>
      </c>
      <c r="J333" s="265">
        <f t="shared" si="5"/>
        <v>0</v>
      </c>
    </row>
    <row r="334" spans="1:10" ht="18" customHeight="1">
      <c r="A334" s="193"/>
      <c r="B334" s="194"/>
      <c r="C334" s="276"/>
      <c r="D334" s="276"/>
      <c r="E334" s="280"/>
      <c r="F334" s="2048"/>
      <c r="G334" s="282" t="s">
        <v>207</v>
      </c>
      <c r="H334" s="2025">
        <f>도시미화부!H2833</f>
        <v>0</v>
      </c>
      <c r="I334" s="2039">
        <v>0</v>
      </c>
      <c r="J334" s="265">
        <f t="shared" si="5"/>
        <v>0</v>
      </c>
    </row>
    <row r="335" spans="1:10" ht="18" customHeight="1">
      <c r="A335" s="266"/>
      <c r="B335" s="272"/>
      <c r="C335" s="273"/>
      <c r="D335" s="262" t="s">
        <v>333</v>
      </c>
      <c r="E335" s="263"/>
      <c r="F335" s="263"/>
      <c r="G335" s="264"/>
      <c r="H335" s="2023">
        <f>H336+H339+H342</f>
        <v>2800800</v>
      </c>
      <c r="I335" s="2037">
        <v>207600</v>
      </c>
      <c r="J335" s="265">
        <f t="shared" si="5"/>
        <v>2593200</v>
      </c>
    </row>
    <row r="336" spans="1:10" ht="18" customHeight="1">
      <c r="A336" s="266"/>
      <c r="B336" s="272"/>
      <c r="C336" s="274"/>
      <c r="D336" s="274"/>
      <c r="E336" s="262" t="s">
        <v>378</v>
      </c>
      <c r="F336" s="263"/>
      <c r="G336" s="264"/>
      <c r="H336" s="2024">
        <f>H337</f>
        <v>0</v>
      </c>
      <c r="I336" s="2038">
        <v>150000</v>
      </c>
      <c r="J336" s="265">
        <f t="shared" si="5"/>
        <v>-150000</v>
      </c>
    </row>
    <row r="337" spans="1:10" ht="18" customHeight="1">
      <c r="A337" s="266"/>
      <c r="B337" s="272"/>
      <c r="C337" s="274"/>
      <c r="D337" s="273"/>
      <c r="E337" s="275"/>
      <c r="F337" s="262" t="s">
        <v>2263</v>
      </c>
      <c r="G337" s="264"/>
      <c r="H337" s="2024">
        <f>환경자원사업소!H167</f>
        <v>0</v>
      </c>
      <c r="I337" s="2038">
        <v>150000</v>
      </c>
      <c r="J337" s="265">
        <f t="shared" si="5"/>
        <v>-150000</v>
      </c>
    </row>
    <row r="338" spans="1:10" ht="18" customHeight="1">
      <c r="A338" s="193"/>
      <c r="B338" s="194"/>
      <c r="C338" s="276"/>
      <c r="D338" s="277"/>
      <c r="E338" s="280"/>
      <c r="F338" s="2048"/>
      <c r="G338" s="282" t="s">
        <v>379</v>
      </c>
      <c r="H338" s="2025">
        <f>환경자원사업소!H168</f>
        <v>0</v>
      </c>
      <c r="I338" s="2039">
        <v>150000</v>
      </c>
      <c r="J338" s="265">
        <f t="shared" si="5"/>
        <v>-150000</v>
      </c>
    </row>
    <row r="339" spans="1:10" ht="18" customHeight="1">
      <c r="A339" s="266"/>
      <c r="B339" s="272"/>
      <c r="C339" s="274"/>
      <c r="D339" s="274"/>
      <c r="E339" s="262" t="s">
        <v>380</v>
      </c>
      <c r="F339" s="263"/>
      <c r="G339" s="264"/>
      <c r="H339" s="2024">
        <f>H340</f>
        <v>2780000</v>
      </c>
      <c r="I339" s="2038">
        <v>0</v>
      </c>
      <c r="J339" s="265">
        <f t="shared" si="5"/>
        <v>2780000</v>
      </c>
    </row>
    <row r="340" spans="1:10" ht="18" customHeight="1">
      <c r="A340" s="266"/>
      <c r="B340" s="272"/>
      <c r="C340" s="274"/>
      <c r="D340" s="273"/>
      <c r="E340" s="275"/>
      <c r="F340" s="262" t="s">
        <v>2263</v>
      </c>
      <c r="G340" s="264"/>
      <c r="H340" s="2024">
        <f>환경자원사업소!H173</f>
        <v>2780000</v>
      </c>
      <c r="I340" s="2038">
        <v>0</v>
      </c>
      <c r="J340" s="265">
        <f t="shared" si="5"/>
        <v>2780000</v>
      </c>
    </row>
    <row r="341" spans="1:10" ht="18" customHeight="1">
      <c r="A341" s="193"/>
      <c r="B341" s="194"/>
      <c r="C341" s="276"/>
      <c r="D341" s="277"/>
      <c r="E341" s="280"/>
      <c r="F341" s="2048"/>
      <c r="G341" s="282" t="s">
        <v>379</v>
      </c>
      <c r="H341" s="2025">
        <f>환경자원사업소!H174</f>
        <v>2780000</v>
      </c>
      <c r="I341" s="2039">
        <v>0</v>
      </c>
      <c r="J341" s="265">
        <f t="shared" si="5"/>
        <v>2780000</v>
      </c>
    </row>
    <row r="342" spans="1:10" ht="18" customHeight="1">
      <c r="A342" s="266"/>
      <c r="B342" s="272"/>
      <c r="C342" s="274"/>
      <c r="D342" s="273"/>
      <c r="E342" s="262" t="s">
        <v>381</v>
      </c>
      <c r="F342" s="263"/>
      <c r="G342" s="264"/>
      <c r="H342" s="2024">
        <f>H343</f>
        <v>20800</v>
      </c>
      <c r="I342" s="2038">
        <v>57600</v>
      </c>
      <c r="J342" s="265">
        <f t="shared" si="5"/>
        <v>-36800</v>
      </c>
    </row>
    <row r="343" spans="1:10" ht="18" customHeight="1">
      <c r="A343" s="266"/>
      <c r="B343" s="272"/>
      <c r="C343" s="274"/>
      <c r="D343" s="273"/>
      <c r="E343" s="275"/>
      <c r="F343" s="262" t="s">
        <v>367</v>
      </c>
      <c r="G343" s="264"/>
      <c r="H343" s="2023">
        <f>환경자원사업소!H181</f>
        <v>20800</v>
      </c>
      <c r="I343" s="2037">
        <v>57600</v>
      </c>
      <c r="J343" s="265">
        <f t="shared" si="5"/>
        <v>-36800</v>
      </c>
    </row>
    <row r="344" spans="1:10" ht="18" customHeight="1">
      <c r="A344" s="193"/>
      <c r="B344" s="194"/>
      <c r="C344" s="280"/>
      <c r="D344" s="280"/>
      <c r="E344" s="280"/>
      <c r="F344" s="2048"/>
      <c r="G344" s="282" t="s">
        <v>207</v>
      </c>
      <c r="H344" s="2027">
        <f>환경자원사업소!H182</f>
        <v>20800</v>
      </c>
      <c r="I344" s="2041">
        <v>57600</v>
      </c>
      <c r="J344" s="265">
        <f t="shared" si="5"/>
        <v>-36800</v>
      </c>
    </row>
    <row r="345" spans="1:10" ht="18" customHeight="1">
      <c r="A345" s="266"/>
      <c r="B345" s="272"/>
      <c r="C345" s="305" t="s">
        <v>143</v>
      </c>
      <c r="D345" s="306"/>
      <c r="E345" s="306"/>
      <c r="F345" s="306"/>
      <c r="G345" s="307"/>
      <c r="H345" s="2029">
        <f>H346+H350</f>
        <v>501352</v>
      </c>
      <c r="I345" s="2043">
        <v>508000</v>
      </c>
      <c r="J345" s="308">
        <f t="shared" si="5"/>
        <v>-6648</v>
      </c>
    </row>
    <row r="346" spans="1:10" ht="18" customHeight="1">
      <c r="A346" s="266"/>
      <c r="B346" s="272"/>
      <c r="C346" s="275"/>
      <c r="D346" s="262" t="s">
        <v>382</v>
      </c>
      <c r="E346" s="263"/>
      <c r="F346" s="263"/>
      <c r="G346" s="264"/>
      <c r="H346" s="2023">
        <f>H347</f>
        <v>1352</v>
      </c>
      <c r="I346" s="2037">
        <v>8000</v>
      </c>
      <c r="J346" s="265">
        <f t="shared" si="5"/>
        <v>-6648</v>
      </c>
    </row>
    <row r="347" spans="1:10" ht="18" customHeight="1">
      <c r="A347" s="266"/>
      <c r="B347" s="272"/>
      <c r="C347" s="274"/>
      <c r="D347" s="275"/>
      <c r="E347" s="262" t="s">
        <v>383</v>
      </c>
      <c r="F347" s="263"/>
      <c r="G347" s="264"/>
      <c r="H347" s="2024">
        <f>H348</f>
        <v>1352</v>
      </c>
      <c r="I347" s="2038">
        <v>8000</v>
      </c>
      <c r="J347" s="265">
        <f t="shared" si="5"/>
        <v>-6648</v>
      </c>
    </row>
    <row r="348" spans="1:10" ht="18" customHeight="1">
      <c r="A348" s="296"/>
      <c r="B348" s="272"/>
      <c r="C348" s="274"/>
      <c r="D348" s="274"/>
      <c r="E348" s="275"/>
      <c r="F348" s="262" t="s">
        <v>367</v>
      </c>
      <c r="G348" s="264"/>
      <c r="H348" s="2023">
        <f>경영본부!H560</f>
        <v>1352</v>
      </c>
      <c r="I348" s="2037">
        <v>8000</v>
      </c>
      <c r="J348" s="265">
        <f t="shared" si="5"/>
        <v>-6648</v>
      </c>
    </row>
    <row r="349" spans="1:10" ht="18" customHeight="1">
      <c r="A349" s="297"/>
      <c r="B349" s="194"/>
      <c r="C349" s="277"/>
      <c r="D349" s="280"/>
      <c r="E349" s="280"/>
      <c r="F349" s="2048"/>
      <c r="G349" s="2048" t="s">
        <v>207</v>
      </c>
      <c r="H349" s="2027">
        <f>경영본부!H561</f>
        <v>1352</v>
      </c>
      <c r="I349" s="2041">
        <v>8000</v>
      </c>
      <c r="J349" s="265">
        <f t="shared" si="5"/>
        <v>-6648</v>
      </c>
    </row>
    <row r="350" spans="1:10" ht="18" customHeight="1">
      <c r="A350" s="266"/>
      <c r="B350" s="272"/>
      <c r="C350" s="274"/>
      <c r="D350" s="262" t="s">
        <v>145</v>
      </c>
      <c r="E350" s="263"/>
      <c r="F350" s="263"/>
      <c r="G350" s="264"/>
      <c r="H350" s="2023">
        <f>H351</f>
        <v>500000</v>
      </c>
      <c r="I350" s="2037">
        <v>500000</v>
      </c>
      <c r="J350" s="265">
        <f t="shared" si="5"/>
        <v>0</v>
      </c>
    </row>
    <row r="351" spans="1:10" ht="18" customHeight="1">
      <c r="A351" s="266"/>
      <c r="B351" s="272"/>
      <c r="C351" s="274"/>
      <c r="D351" s="275"/>
      <c r="E351" s="262" t="s">
        <v>384</v>
      </c>
      <c r="F351" s="263"/>
      <c r="G351" s="264"/>
      <c r="H351" s="2024">
        <f>H352</f>
        <v>500000</v>
      </c>
      <c r="I351" s="2038">
        <v>500000</v>
      </c>
      <c r="J351" s="265">
        <f t="shared" si="5"/>
        <v>0</v>
      </c>
    </row>
    <row r="352" spans="1:10" ht="18" customHeight="1">
      <c r="A352" s="296"/>
      <c r="B352" s="272"/>
      <c r="C352" s="274"/>
      <c r="D352" s="274"/>
      <c r="E352" s="275"/>
      <c r="F352" s="262" t="s">
        <v>145</v>
      </c>
      <c r="G352" s="264"/>
      <c r="H352" s="2024">
        <f>경영본부!H566</f>
        <v>500000</v>
      </c>
      <c r="I352" s="2038">
        <v>500000</v>
      </c>
      <c r="J352" s="265">
        <f t="shared" si="5"/>
        <v>0</v>
      </c>
    </row>
    <row r="353" spans="1:10" ht="18" customHeight="1" thickBot="1">
      <c r="A353" s="319"/>
      <c r="B353" s="200"/>
      <c r="C353" s="311"/>
      <c r="D353" s="311"/>
      <c r="E353" s="311"/>
      <c r="F353" s="320"/>
      <c r="G353" s="320" t="s">
        <v>385</v>
      </c>
      <c r="H353" s="2032">
        <f>경영본부!H567</f>
        <v>500000</v>
      </c>
      <c r="I353" s="2045">
        <v>500000</v>
      </c>
      <c r="J353" s="2137">
        <f>H353-I353</f>
        <v>0</v>
      </c>
    </row>
    <row r="354" spans="1:10">
      <c r="J354" s="321"/>
    </row>
  </sheetData>
  <mergeCells count="5">
    <mergeCell ref="A3:G3"/>
    <mergeCell ref="H3:H4"/>
    <mergeCell ref="I3:I4"/>
    <mergeCell ref="J3:J4"/>
    <mergeCell ref="A5:G5"/>
  </mergeCells>
  <phoneticPr fontId="3" type="noConversion"/>
  <pageMargins left="0.94488188976377951" right="0.78740157480314965" top="0.6692913385826772" bottom="0.98425196850393704" header="0.51181102362204722" footer="0.51181102362204722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0A61B-4EAC-49E6-AEEE-3441A24975CB}">
  <dimension ref="A1:Y574"/>
  <sheetViews>
    <sheetView zoomScaleNormal="100" workbookViewId="0">
      <selection activeCell="H20" sqref="H20"/>
    </sheetView>
  </sheetViews>
  <sheetFormatPr defaultRowHeight="18" customHeight="1"/>
  <cols>
    <col min="1" max="6" width="3.875" customWidth="1"/>
    <col min="7" max="7" width="32.625" customWidth="1"/>
    <col min="8" max="8" width="14.625" style="688" customWidth="1"/>
    <col min="9" max="10" width="14.625" customWidth="1"/>
    <col min="11" max="11" width="80.5" customWidth="1"/>
    <col min="12" max="12" width="3.625" customWidth="1"/>
    <col min="13" max="13" width="14.625" customWidth="1"/>
    <col min="14" max="14" width="12.5" bestFit="1" customWidth="1"/>
    <col min="15" max="15" width="15.5" bestFit="1" customWidth="1"/>
    <col min="19" max="19" width="12.75" bestFit="1" customWidth="1"/>
    <col min="20" max="20" width="13.875" bestFit="1" customWidth="1"/>
    <col min="21" max="21" width="52" bestFit="1" customWidth="1"/>
    <col min="22" max="22" width="29.25" bestFit="1" customWidth="1"/>
  </cols>
  <sheetData>
    <row r="1" spans="1:13" ht="18" customHeight="1" thickBot="1">
      <c r="A1" s="323" t="s">
        <v>386</v>
      </c>
      <c r="B1" s="324"/>
      <c r="C1" s="323"/>
      <c r="D1" s="323"/>
      <c r="E1" s="323"/>
      <c r="F1" s="325"/>
      <c r="G1" s="326"/>
      <c r="H1" s="687"/>
      <c r="I1" s="327"/>
      <c r="J1" s="328"/>
      <c r="K1" s="329"/>
      <c r="L1" s="330"/>
      <c r="M1" s="331" t="s">
        <v>979</v>
      </c>
    </row>
    <row r="2" spans="1:13" ht="18" customHeight="1">
      <c r="A2" s="2378" t="s">
        <v>387</v>
      </c>
      <c r="B2" s="2380" t="s">
        <v>388</v>
      </c>
      <c r="C2" s="2381"/>
      <c r="D2" s="2382"/>
      <c r="E2" s="2380" t="s">
        <v>389</v>
      </c>
      <c r="F2" s="2381"/>
      <c r="G2" s="2382"/>
      <c r="H2" s="2383" t="s">
        <v>390</v>
      </c>
      <c r="I2" s="2374" t="s">
        <v>391</v>
      </c>
      <c r="J2" s="2376" t="s">
        <v>392</v>
      </c>
      <c r="K2" s="2366" t="s">
        <v>393</v>
      </c>
      <c r="L2" s="2367"/>
      <c r="M2" s="2368"/>
    </row>
    <row r="3" spans="1:13" ht="18" customHeight="1" thickBot="1">
      <c r="A3" s="2379"/>
      <c r="B3" s="332" t="s">
        <v>394</v>
      </c>
      <c r="C3" s="332" t="s">
        <v>395</v>
      </c>
      <c r="D3" s="332" t="s">
        <v>396</v>
      </c>
      <c r="E3" s="332" t="s">
        <v>397</v>
      </c>
      <c r="F3" s="332" t="s">
        <v>398</v>
      </c>
      <c r="G3" s="332" t="s">
        <v>399</v>
      </c>
      <c r="H3" s="2384"/>
      <c r="I3" s="2375"/>
      <c r="J3" s="2377"/>
      <c r="K3" s="2369"/>
      <c r="L3" s="2370"/>
      <c r="M3" s="2371"/>
    </row>
    <row r="4" spans="1:13" ht="18" customHeight="1" thickBot="1">
      <c r="A4" s="2372" t="s">
        <v>273</v>
      </c>
      <c r="B4" s="2373"/>
      <c r="C4" s="2373"/>
      <c r="D4" s="2373"/>
      <c r="E4" s="2373"/>
      <c r="F4" s="2373"/>
      <c r="G4" s="2373"/>
      <c r="H4" s="333">
        <f>H5+H555</f>
        <v>18043386</v>
      </c>
      <c r="I4" s="560">
        <v>16662050</v>
      </c>
      <c r="J4" s="581">
        <f t="shared" ref="J4:J11" si="0">H4-I4</f>
        <v>1381336</v>
      </c>
      <c r="K4" s="334"/>
      <c r="L4" s="335"/>
      <c r="M4" s="336"/>
    </row>
    <row r="5" spans="1:13" ht="18" customHeight="1">
      <c r="A5" s="337" t="s">
        <v>131</v>
      </c>
      <c r="B5" s="338"/>
      <c r="C5" s="338"/>
      <c r="D5" s="338"/>
      <c r="E5" s="338"/>
      <c r="F5" s="338"/>
      <c r="G5" s="339"/>
      <c r="H5" s="681">
        <f>H6</f>
        <v>17542034</v>
      </c>
      <c r="I5" s="561">
        <v>16154050</v>
      </c>
      <c r="J5" s="682">
        <f t="shared" si="0"/>
        <v>1387984</v>
      </c>
      <c r="K5" s="423"/>
      <c r="L5" s="424"/>
      <c r="M5" s="602"/>
    </row>
    <row r="6" spans="1:13" ht="18" customHeight="1">
      <c r="A6" s="340"/>
      <c r="B6" s="341" t="s">
        <v>143</v>
      </c>
      <c r="C6" s="342"/>
      <c r="D6" s="342"/>
      <c r="E6" s="342"/>
      <c r="F6" s="342"/>
      <c r="G6" s="343"/>
      <c r="H6" s="606">
        <f>H7+H336</f>
        <v>17542034</v>
      </c>
      <c r="I6" s="561">
        <v>16154050</v>
      </c>
      <c r="J6" s="607">
        <f t="shared" si="0"/>
        <v>1387984</v>
      </c>
      <c r="K6" s="423"/>
      <c r="L6" s="424"/>
      <c r="M6" s="603"/>
    </row>
    <row r="7" spans="1:13" ht="18" customHeight="1">
      <c r="A7" s="340"/>
      <c r="B7" s="344"/>
      <c r="C7" s="341" t="s">
        <v>382</v>
      </c>
      <c r="D7" s="342"/>
      <c r="E7" s="342"/>
      <c r="F7" s="342"/>
      <c r="G7" s="343"/>
      <c r="H7" s="608">
        <f>H8+H283</f>
        <v>5367318</v>
      </c>
      <c r="I7" s="561">
        <v>5219217</v>
      </c>
      <c r="J7" s="601">
        <f t="shared" si="0"/>
        <v>148101</v>
      </c>
      <c r="K7" s="423"/>
      <c r="L7" s="424"/>
      <c r="M7" s="604"/>
    </row>
    <row r="8" spans="1:13" ht="18" customHeight="1">
      <c r="A8" s="345"/>
      <c r="B8" s="344"/>
      <c r="C8" s="346"/>
      <c r="D8" s="341" t="s">
        <v>400</v>
      </c>
      <c r="E8" s="342"/>
      <c r="F8" s="342"/>
      <c r="G8" s="343"/>
      <c r="H8" s="608">
        <f>H9+H250</f>
        <v>5217496</v>
      </c>
      <c r="I8" s="562">
        <v>5130718</v>
      </c>
      <c r="J8" s="607">
        <f t="shared" si="0"/>
        <v>86778</v>
      </c>
      <c r="K8" s="425"/>
      <c r="L8" s="426"/>
      <c r="M8" s="603"/>
    </row>
    <row r="9" spans="1:13" ht="18" customHeight="1">
      <c r="A9" s="340"/>
      <c r="B9" s="344"/>
      <c r="C9" s="347"/>
      <c r="D9" s="348"/>
      <c r="E9" s="349" t="s">
        <v>401</v>
      </c>
      <c r="F9" s="349"/>
      <c r="G9" s="349"/>
      <c r="H9" s="608">
        <f>H10+H210+H216+H220+H242</f>
        <v>1652083</v>
      </c>
      <c r="I9" s="563">
        <v>1504983</v>
      </c>
      <c r="J9" s="601">
        <f t="shared" si="0"/>
        <v>147100</v>
      </c>
      <c r="K9" s="427"/>
      <c r="L9" s="428"/>
      <c r="M9" s="605"/>
    </row>
    <row r="10" spans="1:13" ht="18" customHeight="1">
      <c r="A10" s="340"/>
      <c r="B10" s="344"/>
      <c r="C10" s="350"/>
      <c r="D10" s="350"/>
      <c r="E10" s="350"/>
      <c r="F10" s="351" t="s">
        <v>402</v>
      </c>
      <c r="G10" s="351"/>
      <c r="H10" s="592">
        <f>H11+H72+H75+H79+H97+H136+H153+H168+H197+H207</f>
        <v>1381622</v>
      </c>
      <c r="I10" s="564">
        <v>1247836</v>
      </c>
      <c r="J10" s="597">
        <f t="shared" si="0"/>
        <v>133786</v>
      </c>
      <c r="K10" s="429"/>
      <c r="L10" s="430"/>
      <c r="M10" s="605"/>
    </row>
    <row r="11" spans="1:13" ht="18" customHeight="1">
      <c r="A11" s="340"/>
      <c r="B11" s="344"/>
      <c r="C11" s="344"/>
      <c r="D11" s="344"/>
      <c r="E11" s="344"/>
      <c r="F11" s="350"/>
      <c r="G11" s="344" t="s">
        <v>403</v>
      </c>
      <c r="H11" s="589">
        <f>M11+M50</f>
        <v>61866</v>
      </c>
      <c r="I11" s="565">
        <v>59506</v>
      </c>
      <c r="J11" s="590">
        <f t="shared" si="0"/>
        <v>2360</v>
      </c>
      <c r="K11" s="431" t="s">
        <v>461</v>
      </c>
      <c r="L11" s="432"/>
      <c r="M11" s="1827">
        <f>SUM(M12+M16+M22+M23+M29+M30+M38+M39+M43+M44+M45+M46+M49)</f>
        <v>41116</v>
      </c>
    </row>
    <row r="12" spans="1:13" ht="18" customHeight="1">
      <c r="A12" s="340"/>
      <c r="B12" s="344"/>
      <c r="C12" s="344"/>
      <c r="D12" s="344"/>
      <c r="E12" s="344"/>
      <c r="F12" s="350"/>
      <c r="G12" s="344"/>
      <c r="H12" s="589"/>
      <c r="I12" s="566"/>
      <c r="J12" s="590"/>
      <c r="K12" s="433" t="s">
        <v>462</v>
      </c>
      <c r="L12" s="434"/>
      <c r="M12" s="1824">
        <f>SUM(M13:M15)</f>
        <v>10512</v>
      </c>
    </row>
    <row r="13" spans="1:13" ht="18" customHeight="1">
      <c r="A13" s="340"/>
      <c r="B13" s="344"/>
      <c r="C13" s="344"/>
      <c r="D13" s="344"/>
      <c r="E13" s="344"/>
      <c r="F13" s="350"/>
      <c r="G13" s="344"/>
      <c r="H13" s="589"/>
      <c r="I13" s="566"/>
      <c r="J13" s="590"/>
      <c r="K13" s="435" t="s">
        <v>463</v>
      </c>
      <c r="L13" s="436" t="s">
        <v>464</v>
      </c>
      <c r="M13" s="666">
        <v>3312</v>
      </c>
    </row>
    <row r="14" spans="1:13" ht="18" customHeight="1">
      <c r="A14" s="340"/>
      <c r="B14" s="344"/>
      <c r="C14" s="344"/>
      <c r="D14" s="344"/>
      <c r="E14" s="344"/>
      <c r="F14" s="344"/>
      <c r="G14" s="344"/>
      <c r="H14" s="589"/>
      <c r="I14" s="566"/>
      <c r="J14" s="590"/>
      <c r="K14" s="435" t="s">
        <v>465</v>
      </c>
      <c r="L14" s="436" t="s">
        <v>464</v>
      </c>
      <c r="M14" s="666">
        <v>2400</v>
      </c>
    </row>
    <row r="15" spans="1:13" ht="18" customHeight="1">
      <c r="A15" s="340"/>
      <c r="B15" s="344"/>
      <c r="C15" s="344"/>
      <c r="D15" s="344"/>
      <c r="E15" s="344"/>
      <c r="F15" s="344"/>
      <c r="G15" s="344"/>
      <c r="H15" s="589"/>
      <c r="I15" s="566"/>
      <c r="J15" s="590"/>
      <c r="K15" s="435" t="s">
        <v>466</v>
      </c>
      <c r="L15" s="436" t="s">
        <v>464</v>
      </c>
      <c r="M15" s="666">
        <v>4800</v>
      </c>
    </row>
    <row r="16" spans="1:13" ht="18" customHeight="1">
      <c r="A16" s="340"/>
      <c r="B16" s="344"/>
      <c r="C16" s="344"/>
      <c r="D16" s="344"/>
      <c r="E16" s="344"/>
      <c r="F16" s="344"/>
      <c r="G16" s="344"/>
      <c r="H16" s="589"/>
      <c r="I16" s="566"/>
      <c r="J16" s="590"/>
      <c r="K16" s="433" t="s">
        <v>467</v>
      </c>
      <c r="L16" s="434"/>
      <c r="M16" s="1824">
        <f>SUM(M17:M21)</f>
        <v>7200</v>
      </c>
    </row>
    <row r="17" spans="1:13" ht="18" customHeight="1">
      <c r="A17" s="340"/>
      <c r="B17" s="344"/>
      <c r="C17" s="344"/>
      <c r="D17" s="344"/>
      <c r="E17" s="344"/>
      <c r="F17" s="344"/>
      <c r="G17" s="344"/>
      <c r="H17" s="589"/>
      <c r="I17" s="566"/>
      <c r="J17" s="590"/>
      <c r="K17" s="435" t="s">
        <v>468</v>
      </c>
      <c r="L17" s="436" t="s">
        <v>464</v>
      </c>
      <c r="M17" s="666">
        <v>4000</v>
      </c>
    </row>
    <row r="18" spans="1:13" ht="18" customHeight="1">
      <c r="A18" s="340"/>
      <c r="B18" s="344"/>
      <c r="C18" s="344"/>
      <c r="D18" s="344"/>
      <c r="E18" s="344"/>
      <c r="F18" s="344"/>
      <c r="G18" s="344"/>
      <c r="H18" s="589"/>
      <c r="I18" s="566"/>
      <c r="J18" s="590"/>
      <c r="K18" s="435" t="s">
        <v>469</v>
      </c>
      <c r="L18" s="436" t="s">
        <v>464</v>
      </c>
      <c r="M18" s="666">
        <v>1100</v>
      </c>
    </row>
    <row r="19" spans="1:13" ht="18" customHeight="1">
      <c r="A19" s="340"/>
      <c r="B19" s="344"/>
      <c r="C19" s="344"/>
      <c r="D19" s="344"/>
      <c r="E19" s="344"/>
      <c r="F19" s="344"/>
      <c r="G19" s="344"/>
      <c r="H19" s="589"/>
      <c r="I19" s="566"/>
      <c r="J19" s="590"/>
      <c r="K19" s="435" t="s">
        <v>470</v>
      </c>
      <c r="L19" s="436" t="s">
        <v>464</v>
      </c>
      <c r="M19" s="666">
        <v>1100</v>
      </c>
    </row>
    <row r="20" spans="1:13" ht="18" customHeight="1">
      <c r="A20" s="340"/>
      <c r="B20" s="344"/>
      <c r="C20" s="344"/>
      <c r="D20" s="344"/>
      <c r="E20" s="344"/>
      <c r="F20" s="344"/>
      <c r="G20" s="344"/>
      <c r="H20" s="589"/>
      <c r="I20" s="566"/>
      <c r="J20" s="590"/>
      <c r="K20" s="435" t="s">
        <v>471</v>
      </c>
      <c r="L20" s="436" t="s">
        <v>464</v>
      </c>
      <c r="M20" s="666">
        <v>600</v>
      </c>
    </row>
    <row r="21" spans="1:13" ht="18" customHeight="1">
      <c r="A21" s="340"/>
      <c r="B21" s="344"/>
      <c r="C21" s="344"/>
      <c r="D21" s="344"/>
      <c r="E21" s="344"/>
      <c r="F21" s="344"/>
      <c r="G21" s="344"/>
      <c r="H21" s="589"/>
      <c r="I21" s="566"/>
      <c r="J21" s="590"/>
      <c r="K21" s="435" t="s">
        <v>472</v>
      </c>
      <c r="L21" s="436" t="s">
        <v>464</v>
      </c>
      <c r="M21" s="666">
        <v>400</v>
      </c>
    </row>
    <row r="22" spans="1:13" ht="18" customHeight="1">
      <c r="A22" s="340"/>
      <c r="B22" s="344"/>
      <c r="C22" s="344"/>
      <c r="D22" s="344"/>
      <c r="E22" s="344"/>
      <c r="F22" s="344"/>
      <c r="G22" s="344"/>
      <c r="H22" s="589"/>
      <c r="I22" s="566"/>
      <c r="J22" s="590"/>
      <c r="K22" s="435" t="s">
        <v>473</v>
      </c>
      <c r="L22" s="436" t="s">
        <v>464</v>
      </c>
      <c r="M22" s="1824">
        <v>2600</v>
      </c>
    </row>
    <row r="23" spans="1:13" ht="18" customHeight="1">
      <c r="A23" s="340"/>
      <c r="B23" s="344"/>
      <c r="C23" s="344"/>
      <c r="D23" s="344"/>
      <c r="E23" s="344"/>
      <c r="F23" s="350"/>
      <c r="G23" s="344"/>
      <c r="H23" s="589"/>
      <c r="I23" s="566"/>
      <c r="J23" s="590"/>
      <c r="K23" s="433" t="s">
        <v>474</v>
      </c>
      <c r="L23" s="436"/>
      <c r="M23" s="1824">
        <f>SUM(M24:M28)</f>
        <v>1080</v>
      </c>
    </row>
    <row r="24" spans="1:13" ht="18" customHeight="1">
      <c r="A24" s="340"/>
      <c r="B24" s="344"/>
      <c r="C24" s="344"/>
      <c r="D24" s="344"/>
      <c r="E24" s="344"/>
      <c r="F24" s="350"/>
      <c r="G24" s="344"/>
      <c r="H24" s="589"/>
      <c r="I24" s="566"/>
      <c r="J24" s="590"/>
      <c r="K24" s="435" t="s">
        <v>475</v>
      </c>
      <c r="L24" s="436" t="s">
        <v>464</v>
      </c>
      <c r="M24" s="666">
        <v>240</v>
      </c>
    </row>
    <row r="25" spans="1:13" ht="18" customHeight="1">
      <c r="A25" s="340"/>
      <c r="B25" s="344"/>
      <c r="C25" s="344"/>
      <c r="D25" s="344"/>
      <c r="E25" s="344"/>
      <c r="F25" s="350"/>
      <c r="G25" s="344"/>
      <c r="H25" s="589"/>
      <c r="I25" s="566"/>
      <c r="J25" s="590"/>
      <c r="K25" s="435" t="s">
        <v>476</v>
      </c>
      <c r="L25" s="436" t="s">
        <v>464</v>
      </c>
      <c r="M25" s="666">
        <v>180</v>
      </c>
    </row>
    <row r="26" spans="1:13" ht="18" customHeight="1">
      <c r="A26" s="340"/>
      <c r="B26" s="344"/>
      <c r="C26" s="344"/>
      <c r="D26" s="344"/>
      <c r="E26" s="344"/>
      <c r="F26" s="350"/>
      <c r="G26" s="344"/>
      <c r="H26" s="589"/>
      <c r="I26" s="566"/>
      <c r="J26" s="590"/>
      <c r="K26" s="435" t="s">
        <v>477</v>
      </c>
      <c r="L26" s="436" t="s">
        <v>464</v>
      </c>
      <c r="M26" s="666">
        <v>240</v>
      </c>
    </row>
    <row r="27" spans="1:13" ht="18" customHeight="1">
      <c r="A27" s="340"/>
      <c r="B27" s="344"/>
      <c r="C27" s="344"/>
      <c r="D27" s="344"/>
      <c r="E27" s="344"/>
      <c r="F27" s="350"/>
      <c r="G27" s="344"/>
      <c r="H27" s="589"/>
      <c r="I27" s="566"/>
      <c r="J27" s="590"/>
      <c r="K27" s="435" t="s">
        <v>478</v>
      </c>
      <c r="L27" s="436" t="s">
        <v>464</v>
      </c>
      <c r="M27" s="666">
        <v>120</v>
      </c>
    </row>
    <row r="28" spans="1:13" ht="18" customHeight="1">
      <c r="A28" s="340"/>
      <c r="B28" s="344"/>
      <c r="C28" s="344"/>
      <c r="D28" s="344"/>
      <c r="E28" s="344"/>
      <c r="F28" s="350"/>
      <c r="G28" s="344"/>
      <c r="H28" s="589"/>
      <c r="I28" s="566"/>
      <c r="J28" s="590"/>
      <c r="K28" s="425" t="s">
        <v>479</v>
      </c>
      <c r="L28" s="436" t="s">
        <v>464</v>
      </c>
      <c r="M28" s="666">
        <v>300</v>
      </c>
    </row>
    <row r="29" spans="1:13" ht="18" customHeight="1">
      <c r="A29" s="340"/>
      <c r="B29" s="344"/>
      <c r="C29" s="344"/>
      <c r="D29" s="344"/>
      <c r="E29" s="344"/>
      <c r="F29" s="344"/>
      <c r="G29" s="344"/>
      <c r="H29" s="589"/>
      <c r="I29" s="566"/>
      <c r="J29" s="590"/>
      <c r="K29" s="437" t="s">
        <v>480</v>
      </c>
      <c r="L29" s="436" t="s">
        <v>464</v>
      </c>
      <c r="M29" s="1824">
        <v>300</v>
      </c>
    </row>
    <row r="30" spans="1:13" ht="18" customHeight="1">
      <c r="A30" s="340"/>
      <c r="B30" s="344"/>
      <c r="C30" s="344"/>
      <c r="D30" s="344"/>
      <c r="E30" s="344"/>
      <c r="F30" s="344"/>
      <c r="G30" s="344"/>
      <c r="H30" s="589"/>
      <c r="I30" s="566"/>
      <c r="J30" s="590"/>
      <c r="K30" s="433" t="s">
        <v>481</v>
      </c>
      <c r="L30" s="434"/>
      <c r="M30" s="1824">
        <f>SUM(M31:M37)</f>
        <v>3020</v>
      </c>
    </row>
    <row r="31" spans="1:13" ht="18" customHeight="1">
      <c r="A31" s="340"/>
      <c r="B31" s="344"/>
      <c r="C31" s="344"/>
      <c r="D31" s="344"/>
      <c r="E31" s="344"/>
      <c r="F31" s="344"/>
      <c r="G31" s="344"/>
      <c r="H31" s="589"/>
      <c r="I31" s="566"/>
      <c r="J31" s="590"/>
      <c r="K31" s="433" t="s">
        <v>482</v>
      </c>
      <c r="L31" s="436" t="s">
        <v>464</v>
      </c>
      <c r="M31" s="666">
        <v>600</v>
      </c>
    </row>
    <row r="32" spans="1:13" ht="18" customHeight="1">
      <c r="A32" s="340"/>
      <c r="B32" s="344"/>
      <c r="C32" s="344"/>
      <c r="D32" s="344"/>
      <c r="E32" s="344"/>
      <c r="F32" s="344"/>
      <c r="G32" s="344"/>
      <c r="H32" s="589"/>
      <c r="I32" s="566"/>
      <c r="J32" s="590"/>
      <c r="K32" s="433" t="s">
        <v>483</v>
      </c>
      <c r="L32" s="436" t="s">
        <v>464</v>
      </c>
      <c r="M32" s="666">
        <v>800</v>
      </c>
    </row>
    <row r="33" spans="1:13" ht="18" customHeight="1">
      <c r="A33" s="340"/>
      <c r="B33" s="344"/>
      <c r="C33" s="344"/>
      <c r="D33" s="344"/>
      <c r="E33" s="344"/>
      <c r="F33" s="344"/>
      <c r="G33" s="344"/>
      <c r="H33" s="589"/>
      <c r="I33" s="566"/>
      <c r="J33" s="590"/>
      <c r="K33" s="433" t="s">
        <v>484</v>
      </c>
      <c r="L33" s="436" t="s">
        <v>464</v>
      </c>
      <c r="M33" s="666">
        <v>600</v>
      </c>
    </row>
    <row r="34" spans="1:13" ht="18" customHeight="1">
      <c r="A34" s="340"/>
      <c r="B34" s="344"/>
      <c r="C34" s="344"/>
      <c r="D34" s="344"/>
      <c r="E34" s="344"/>
      <c r="F34" s="344"/>
      <c r="G34" s="344"/>
      <c r="H34" s="589"/>
      <c r="I34" s="566"/>
      <c r="J34" s="590"/>
      <c r="K34" s="433" t="s">
        <v>485</v>
      </c>
      <c r="L34" s="436" t="s">
        <v>464</v>
      </c>
      <c r="M34" s="666">
        <v>100</v>
      </c>
    </row>
    <row r="35" spans="1:13" ht="18" customHeight="1">
      <c r="A35" s="340"/>
      <c r="B35" s="344"/>
      <c r="C35" s="344"/>
      <c r="D35" s="344"/>
      <c r="E35" s="344"/>
      <c r="F35" s="344"/>
      <c r="G35" s="344"/>
      <c r="H35" s="589"/>
      <c r="I35" s="566"/>
      <c r="J35" s="590"/>
      <c r="K35" s="433" t="s">
        <v>486</v>
      </c>
      <c r="L35" s="436" t="s">
        <v>464</v>
      </c>
      <c r="M35" s="666">
        <v>100</v>
      </c>
    </row>
    <row r="36" spans="1:13" ht="18" customHeight="1">
      <c r="A36" s="340"/>
      <c r="B36" s="344"/>
      <c r="C36" s="344"/>
      <c r="D36" s="344"/>
      <c r="E36" s="344"/>
      <c r="F36" s="344"/>
      <c r="G36" s="344"/>
      <c r="H36" s="589"/>
      <c r="I36" s="566"/>
      <c r="J36" s="590"/>
      <c r="K36" s="433" t="s">
        <v>487</v>
      </c>
      <c r="L36" s="436" t="s">
        <v>464</v>
      </c>
      <c r="M36" s="666">
        <v>320</v>
      </c>
    </row>
    <row r="37" spans="1:13" ht="18" customHeight="1">
      <c r="A37" s="340"/>
      <c r="B37" s="344"/>
      <c r="C37" s="344"/>
      <c r="D37" s="344"/>
      <c r="E37" s="344"/>
      <c r="F37" s="344"/>
      <c r="G37" s="344"/>
      <c r="H37" s="589"/>
      <c r="I37" s="566"/>
      <c r="J37" s="590"/>
      <c r="K37" s="433" t="s">
        <v>488</v>
      </c>
      <c r="L37" s="436" t="s">
        <v>464</v>
      </c>
      <c r="M37" s="666">
        <v>500</v>
      </c>
    </row>
    <row r="38" spans="1:13" ht="18" customHeight="1">
      <c r="A38" s="352"/>
      <c r="B38" s="353"/>
      <c r="C38" s="354"/>
      <c r="D38" s="354"/>
      <c r="E38" s="354"/>
      <c r="F38" s="354"/>
      <c r="G38" s="353"/>
      <c r="H38" s="589"/>
      <c r="I38" s="567"/>
      <c r="J38" s="590"/>
      <c r="K38" s="438" t="s">
        <v>489</v>
      </c>
      <c r="L38" s="436" t="s">
        <v>464</v>
      </c>
      <c r="M38" s="1824">
        <v>400</v>
      </c>
    </row>
    <row r="39" spans="1:13" ht="18" customHeight="1">
      <c r="A39" s="340"/>
      <c r="B39" s="344"/>
      <c r="C39" s="344"/>
      <c r="D39" s="344"/>
      <c r="E39" s="344"/>
      <c r="F39" s="350"/>
      <c r="G39" s="344"/>
      <c r="H39" s="589"/>
      <c r="I39" s="566"/>
      <c r="J39" s="590"/>
      <c r="K39" s="439" t="s">
        <v>490</v>
      </c>
      <c r="L39" s="440"/>
      <c r="M39" s="1824">
        <f>SUM(M40:M42)</f>
        <v>1554</v>
      </c>
    </row>
    <row r="40" spans="1:13" ht="18" customHeight="1">
      <c r="A40" s="340"/>
      <c r="B40" s="344"/>
      <c r="C40" s="344"/>
      <c r="D40" s="344"/>
      <c r="E40" s="344"/>
      <c r="F40" s="350"/>
      <c r="G40" s="344"/>
      <c r="H40" s="589"/>
      <c r="I40" s="566"/>
      <c r="J40" s="590"/>
      <c r="K40" s="435" t="s">
        <v>491</v>
      </c>
      <c r="L40" s="440" t="s">
        <v>464</v>
      </c>
      <c r="M40" s="666">
        <v>250</v>
      </c>
    </row>
    <row r="41" spans="1:13" ht="18" customHeight="1">
      <c r="A41" s="340"/>
      <c r="B41" s="344"/>
      <c r="C41" s="344"/>
      <c r="D41" s="344"/>
      <c r="E41" s="344"/>
      <c r="F41" s="350"/>
      <c r="G41" s="344"/>
      <c r="H41" s="589"/>
      <c r="I41" s="566"/>
      <c r="J41" s="590"/>
      <c r="K41" s="435" t="s">
        <v>492</v>
      </c>
      <c r="L41" s="440" t="s">
        <v>464</v>
      </c>
      <c r="M41" s="666">
        <v>420</v>
      </c>
    </row>
    <row r="42" spans="1:13" ht="18" customHeight="1">
      <c r="A42" s="340"/>
      <c r="B42" s="344"/>
      <c r="C42" s="344"/>
      <c r="D42" s="344"/>
      <c r="E42" s="344"/>
      <c r="F42" s="350"/>
      <c r="G42" s="344"/>
      <c r="H42" s="589"/>
      <c r="I42" s="566"/>
      <c r="J42" s="590"/>
      <c r="K42" s="435" t="s">
        <v>493</v>
      </c>
      <c r="L42" s="436" t="s">
        <v>464</v>
      </c>
      <c r="M42" s="666">
        <v>884</v>
      </c>
    </row>
    <row r="43" spans="1:13" ht="18" customHeight="1">
      <c r="A43" s="340"/>
      <c r="B43" s="344"/>
      <c r="C43" s="344"/>
      <c r="D43" s="344"/>
      <c r="E43" s="344"/>
      <c r="F43" s="350"/>
      <c r="G43" s="344"/>
      <c r="H43" s="589"/>
      <c r="I43" s="566"/>
      <c r="J43" s="590"/>
      <c r="K43" s="425" t="s">
        <v>494</v>
      </c>
      <c r="L43" s="441" t="s">
        <v>464</v>
      </c>
      <c r="M43" s="1824">
        <v>4000</v>
      </c>
    </row>
    <row r="44" spans="1:13" ht="18" customHeight="1">
      <c r="A44" s="340"/>
      <c r="B44" s="344"/>
      <c r="C44" s="344"/>
      <c r="D44" s="344"/>
      <c r="E44" s="344"/>
      <c r="F44" s="350"/>
      <c r="G44" s="344"/>
      <c r="H44" s="589"/>
      <c r="I44" s="566"/>
      <c r="J44" s="590"/>
      <c r="K44" s="437" t="s">
        <v>495</v>
      </c>
      <c r="L44" s="441" t="s">
        <v>464</v>
      </c>
      <c r="M44" s="1824">
        <v>6600</v>
      </c>
    </row>
    <row r="45" spans="1:13" ht="18" customHeight="1">
      <c r="A45" s="340"/>
      <c r="B45" s="344"/>
      <c r="C45" s="344"/>
      <c r="D45" s="344"/>
      <c r="E45" s="344"/>
      <c r="F45" s="344"/>
      <c r="G45" s="344"/>
      <c r="H45" s="589"/>
      <c r="I45" s="566"/>
      <c r="J45" s="590"/>
      <c r="K45" s="437" t="s">
        <v>496</v>
      </c>
      <c r="L45" s="441" t="s">
        <v>464</v>
      </c>
      <c r="M45" s="1824">
        <v>2400</v>
      </c>
    </row>
    <row r="46" spans="1:13" ht="18" customHeight="1">
      <c r="A46" s="340"/>
      <c r="B46" s="344"/>
      <c r="C46" s="350"/>
      <c r="D46" s="350"/>
      <c r="E46" s="350"/>
      <c r="F46" s="350"/>
      <c r="G46" s="344"/>
      <c r="H46" s="589"/>
      <c r="I46" s="568"/>
      <c r="J46" s="590"/>
      <c r="K46" s="425" t="s">
        <v>497</v>
      </c>
      <c r="L46" s="442"/>
      <c r="M46" s="1824">
        <f>SUM(M47:M48)</f>
        <v>650</v>
      </c>
    </row>
    <row r="47" spans="1:13" ht="18" customHeight="1">
      <c r="A47" s="352"/>
      <c r="B47" s="353"/>
      <c r="C47" s="354"/>
      <c r="D47" s="354"/>
      <c r="E47" s="354"/>
      <c r="F47" s="354"/>
      <c r="G47" s="353"/>
      <c r="H47" s="589"/>
      <c r="I47" s="567"/>
      <c r="J47" s="590"/>
      <c r="K47" s="425" t="s">
        <v>498</v>
      </c>
      <c r="L47" s="442" t="s">
        <v>464</v>
      </c>
      <c r="M47" s="666">
        <v>200</v>
      </c>
    </row>
    <row r="48" spans="1:13" ht="18" customHeight="1">
      <c r="A48" s="340"/>
      <c r="B48" s="344"/>
      <c r="C48" s="344"/>
      <c r="D48" s="344"/>
      <c r="E48" s="344"/>
      <c r="F48" s="344"/>
      <c r="G48" s="344"/>
      <c r="H48" s="589"/>
      <c r="I48" s="566"/>
      <c r="J48" s="590"/>
      <c r="K48" s="443" t="s">
        <v>499</v>
      </c>
      <c r="L48" s="441" t="s">
        <v>464</v>
      </c>
      <c r="M48" s="666">
        <v>450</v>
      </c>
    </row>
    <row r="49" spans="1:13" ht="18" customHeight="1">
      <c r="A49" s="340"/>
      <c r="B49" s="344"/>
      <c r="C49" s="344"/>
      <c r="D49" s="344"/>
      <c r="E49" s="344"/>
      <c r="F49" s="344"/>
      <c r="G49" s="344"/>
      <c r="H49" s="589"/>
      <c r="I49" s="566"/>
      <c r="J49" s="590"/>
      <c r="K49" s="437" t="s">
        <v>500</v>
      </c>
      <c r="L49" s="441" t="s">
        <v>464</v>
      </c>
      <c r="M49" s="1824">
        <v>800</v>
      </c>
    </row>
    <row r="50" spans="1:13" ht="18" customHeight="1">
      <c r="A50" s="340"/>
      <c r="B50" s="344"/>
      <c r="C50" s="344"/>
      <c r="D50" s="344"/>
      <c r="E50" s="344"/>
      <c r="F50" s="344"/>
      <c r="G50" s="344"/>
      <c r="H50" s="589"/>
      <c r="I50" s="566"/>
      <c r="J50" s="590"/>
      <c r="K50" s="444" t="s">
        <v>501</v>
      </c>
      <c r="L50" s="441"/>
      <c r="M50" s="1824">
        <f>M51+M54+M57+M60+M61+M62+M65+M66+M67+M68+M69+M70+M71</f>
        <v>20750</v>
      </c>
    </row>
    <row r="51" spans="1:13" ht="18" customHeight="1">
      <c r="A51" s="340"/>
      <c r="B51" s="344"/>
      <c r="C51" s="344"/>
      <c r="D51" s="344"/>
      <c r="E51" s="344"/>
      <c r="F51" s="344"/>
      <c r="G51" s="344"/>
      <c r="H51" s="589"/>
      <c r="I51" s="566"/>
      <c r="J51" s="590"/>
      <c r="K51" s="433" t="s">
        <v>502</v>
      </c>
      <c r="L51" s="445"/>
      <c r="M51" s="1824">
        <f>SUM(M52:M53)</f>
        <v>4200</v>
      </c>
    </row>
    <row r="52" spans="1:13" ht="18" customHeight="1">
      <c r="A52" s="340"/>
      <c r="B52" s="344"/>
      <c r="C52" s="344"/>
      <c r="D52" s="344"/>
      <c r="E52" s="344"/>
      <c r="F52" s="344"/>
      <c r="G52" s="344"/>
      <c r="H52" s="589"/>
      <c r="I52" s="566"/>
      <c r="J52" s="590"/>
      <c r="K52" s="433" t="s">
        <v>503</v>
      </c>
      <c r="L52" s="445" t="s">
        <v>464</v>
      </c>
      <c r="M52" s="666">
        <v>3600</v>
      </c>
    </row>
    <row r="53" spans="1:13" ht="18" customHeight="1">
      <c r="A53" s="340"/>
      <c r="B53" s="344"/>
      <c r="C53" s="344"/>
      <c r="D53" s="344"/>
      <c r="E53" s="344"/>
      <c r="F53" s="344"/>
      <c r="G53" s="344"/>
      <c r="H53" s="589"/>
      <c r="I53" s="566"/>
      <c r="J53" s="590"/>
      <c r="K53" s="433" t="s">
        <v>504</v>
      </c>
      <c r="L53" s="445" t="s">
        <v>464</v>
      </c>
      <c r="M53" s="666">
        <v>600</v>
      </c>
    </row>
    <row r="54" spans="1:13" ht="18" customHeight="1">
      <c r="A54" s="340"/>
      <c r="B54" s="344"/>
      <c r="C54" s="344"/>
      <c r="D54" s="344"/>
      <c r="E54" s="344"/>
      <c r="F54" s="344"/>
      <c r="G54" s="344"/>
      <c r="H54" s="589"/>
      <c r="I54" s="566"/>
      <c r="J54" s="590"/>
      <c r="K54" s="433" t="s">
        <v>505</v>
      </c>
      <c r="L54" s="436"/>
      <c r="M54" s="1824">
        <f>SUM(M55:M56)</f>
        <v>4200</v>
      </c>
    </row>
    <row r="55" spans="1:13" ht="18" customHeight="1">
      <c r="A55" s="340"/>
      <c r="B55" s="344"/>
      <c r="C55" s="344"/>
      <c r="D55" s="344"/>
      <c r="E55" s="344"/>
      <c r="F55" s="350"/>
      <c r="G55" s="344"/>
      <c r="H55" s="589"/>
      <c r="I55" s="566"/>
      <c r="J55" s="590"/>
      <c r="K55" s="433" t="s">
        <v>506</v>
      </c>
      <c r="L55" s="445" t="s">
        <v>464</v>
      </c>
      <c r="M55" s="666">
        <v>3500</v>
      </c>
    </row>
    <row r="56" spans="1:13" ht="18" customHeight="1">
      <c r="A56" s="340"/>
      <c r="B56" s="344"/>
      <c r="C56" s="344"/>
      <c r="D56" s="344"/>
      <c r="E56" s="344"/>
      <c r="F56" s="350"/>
      <c r="G56" s="344"/>
      <c r="H56" s="589"/>
      <c r="I56" s="566"/>
      <c r="J56" s="590"/>
      <c r="K56" s="433" t="s">
        <v>507</v>
      </c>
      <c r="L56" s="445" t="s">
        <v>464</v>
      </c>
      <c r="M56" s="666">
        <v>700</v>
      </c>
    </row>
    <row r="57" spans="1:13" ht="18" customHeight="1">
      <c r="A57" s="340"/>
      <c r="B57" s="344"/>
      <c r="C57" s="344"/>
      <c r="D57" s="344"/>
      <c r="E57" s="344"/>
      <c r="F57" s="344"/>
      <c r="G57" s="344"/>
      <c r="H57" s="589"/>
      <c r="I57" s="566"/>
      <c r="J57" s="590"/>
      <c r="K57" s="437" t="s">
        <v>508</v>
      </c>
      <c r="L57" s="436"/>
      <c r="M57" s="1824">
        <f>SUM(M58:M59)</f>
        <v>3600</v>
      </c>
    </row>
    <row r="58" spans="1:13" ht="18" customHeight="1">
      <c r="A58" s="340"/>
      <c r="B58" s="344"/>
      <c r="C58" s="344"/>
      <c r="D58" s="344"/>
      <c r="E58" s="344"/>
      <c r="F58" s="344"/>
      <c r="G58" s="344"/>
      <c r="H58" s="589"/>
      <c r="I58" s="566"/>
      <c r="J58" s="590"/>
      <c r="K58" s="433" t="s">
        <v>509</v>
      </c>
      <c r="L58" s="445" t="s">
        <v>464</v>
      </c>
      <c r="M58" s="666">
        <v>2400</v>
      </c>
    </row>
    <row r="59" spans="1:13" ht="18" customHeight="1">
      <c r="A59" s="340"/>
      <c r="B59" s="344"/>
      <c r="C59" s="344"/>
      <c r="D59" s="344"/>
      <c r="E59" s="344"/>
      <c r="F59" s="344"/>
      <c r="G59" s="344"/>
      <c r="H59" s="589"/>
      <c r="I59" s="566"/>
      <c r="J59" s="590"/>
      <c r="K59" s="433" t="s">
        <v>510</v>
      </c>
      <c r="L59" s="445" t="s">
        <v>464</v>
      </c>
      <c r="M59" s="666">
        <v>1200</v>
      </c>
    </row>
    <row r="60" spans="1:13" ht="18" customHeight="1">
      <c r="A60" s="340"/>
      <c r="B60" s="344"/>
      <c r="C60" s="344"/>
      <c r="D60" s="344"/>
      <c r="E60" s="344"/>
      <c r="F60" s="344"/>
      <c r="G60" s="344"/>
      <c r="H60" s="589"/>
      <c r="I60" s="566"/>
      <c r="J60" s="590"/>
      <c r="K60" s="433" t="s">
        <v>511</v>
      </c>
      <c r="L60" s="446" t="s">
        <v>464</v>
      </c>
      <c r="M60" s="1824">
        <v>500</v>
      </c>
    </row>
    <row r="61" spans="1:13" ht="18" customHeight="1">
      <c r="A61" s="340"/>
      <c r="B61" s="344"/>
      <c r="C61" s="344"/>
      <c r="D61" s="344"/>
      <c r="E61" s="344"/>
      <c r="F61" s="344"/>
      <c r="G61" s="344"/>
      <c r="H61" s="589"/>
      <c r="I61" s="566"/>
      <c r="J61" s="590"/>
      <c r="K61" s="433" t="s">
        <v>512</v>
      </c>
      <c r="L61" s="446" t="s">
        <v>464</v>
      </c>
      <c r="M61" s="1824">
        <v>300</v>
      </c>
    </row>
    <row r="62" spans="1:13" ht="18" customHeight="1">
      <c r="A62" s="352"/>
      <c r="B62" s="353"/>
      <c r="C62" s="354"/>
      <c r="D62" s="354"/>
      <c r="E62" s="354"/>
      <c r="F62" s="354"/>
      <c r="G62" s="353"/>
      <c r="H62" s="589"/>
      <c r="I62" s="567"/>
      <c r="J62" s="590"/>
      <c r="K62" s="447" t="s">
        <v>513</v>
      </c>
      <c r="L62" s="445"/>
      <c r="M62" s="1824">
        <f>SUM(M63:M64)</f>
        <v>250</v>
      </c>
    </row>
    <row r="63" spans="1:13" ht="18" customHeight="1">
      <c r="A63" s="352"/>
      <c r="B63" s="353"/>
      <c r="C63" s="354"/>
      <c r="D63" s="354"/>
      <c r="E63" s="354"/>
      <c r="F63" s="354"/>
      <c r="G63" s="353"/>
      <c r="H63" s="589"/>
      <c r="I63" s="567"/>
      <c r="J63" s="590"/>
      <c r="K63" s="447" t="s">
        <v>514</v>
      </c>
      <c r="L63" s="445" t="s">
        <v>464</v>
      </c>
      <c r="M63" s="666">
        <v>200</v>
      </c>
    </row>
    <row r="64" spans="1:13" ht="18" customHeight="1">
      <c r="A64" s="352"/>
      <c r="B64" s="353"/>
      <c r="C64" s="354"/>
      <c r="D64" s="354"/>
      <c r="E64" s="354"/>
      <c r="F64" s="354"/>
      <c r="G64" s="353"/>
      <c r="H64" s="589"/>
      <c r="I64" s="567"/>
      <c r="J64" s="590"/>
      <c r="K64" s="447" t="s">
        <v>515</v>
      </c>
      <c r="L64" s="445" t="s">
        <v>464</v>
      </c>
      <c r="M64" s="666">
        <v>50</v>
      </c>
    </row>
    <row r="65" spans="1:13" ht="18" customHeight="1">
      <c r="A65" s="340"/>
      <c r="B65" s="344"/>
      <c r="C65" s="344"/>
      <c r="D65" s="344"/>
      <c r="E65" s="344"/>
      <c r="F65" s="350"/>
      <c r="G65" s="344"/>
      <c r="H65" s="589"/>
      <c r="I65" s="566"/>
      <c r="J65" s="590"/>
      <c r="K65" s="448" t="s">
        <v>516</v>
      </c>
      <c r="L65" s="449" t="s">
        <v>464</v>
      </c>
      <c r="M65" s="1824">
        <v>1000</v>
      </c>
    </row>
    <row r="66" spans="1:13" ht="18" customHeight="1">
      <c r="A66" s="340"/>
      <c r="B66" s="344"/>
      <c r="C66" s="344"/>
      <c r="D66" s="344"/>
      <c r="E66" s="344"/>
      <c r="F66" s="350"/>
      <c r="G66" s="344"/>
      <c r="H66" s="589"/>
      <c r="I66" s="566"/>
      <c r="J66" s="590"/>
      <c r="K66" s="448" t="s">
        <v>517</v>
      </c>
      <c r="L66" s="449" t="s">
        <v>464</v>
      </c>
      <c r="M66" s="1824">
        <v>2100</v>
      </c>
    </row>
    <row r="67" spans="1:13" ht="18" customHeight="1">
      <c r="A67" s="340"/>
      <c r="B67" s="344"/>
      <c r="C67" s="344"/>
      <c r="D67" s="344"/>
      <c r="E67" s="344"/>
      <c r="F67" s="350"/>
      <c r="G67" s="344"/>
      <c r="H67" s="589"/>
      <c r="I67" s="566"/>
      <c r="J67" s="590"/>
      <c r="K67" s="448" t="s">
        <v>518</v>
      </c>
      <c r="L67" s="449" t="s">
        <v>464</v>
      </c>
      <c r="M67" s="1824">
        <v>800</v>
      </c>
    </row>
    <row r="68" spans="1:13" ht="18" customHeight="1">
      <c r="A68" s="340"/>
      <c r="B68" s="344"/>
      <c r="C68" s="344"/>
      <c r="D68" s="344"/>
      <c r="E68" s="344"/>
      <c r="F68" s="350"/>
      <c r="G68" s="344"/>
      <c r="H68" s="589"/>
      <c r="I68" s="566"/>
      <c r="J68" s="590"/>
      <c r="K68" s="448" t="s">
        <v>519</v>
      </c>
      <c r="L68" s="449" t="s">
        <v>464</v>
      </c>
      <c r="M68" s="1824">
        <v>500</v>
      </c>
    </row>
    <row r="69" spans="1:13" ht="18" customHeight="1">
      <c r="A69" s="340"/>
      <c r="B69" s="344"/>
      <c r="C69" s="344"/>
      <c r="D69" s="344"/>
      <c r="E69" s="344"/>
      <c r="F69" s="350"/>
      <c r="G69" s="344"/>
      <c r="H69" s="589"/>
      <c r="I69" s="566"/>
      <c r="J69" s="590"/>
      <c r="K69" s="450" t="s">
        <v>520</v>
      </c>
      <c r="L69" s="451" t="s">
        <v>464</v>
      </c>
      <c r="M69" s="1824">
        <v>800</v>
      </c>
    </row>
    <row r="70" spans="1:13" ht="18" customHeight="1">
      <c r="A70" s="340"/>
      <c r="B70" s="344"/>
      <c r="C70" s="344"/>
      <c r="D70" s="344"/>
      <c r="E70" s="344"/>
      <c r="F70" s="350"/>
      <c r="G70" s="344"/>
      <c r="H70" s="589"/>
      <c r="I70" s="566"/>
      <c r="J70" s="590"/>
      <c r="K70" s="443" t="s">
        <v>521</v>
      </c>
      <c r="L70" s="452" t="s">
        <v>464</v>
      </c>
      <c r="M70" s="1824">
        <v>1500</v>
      </c>
    </row>
    <row r="71" spans="1:13" ht="18" customHeight="1">
      <c r="A71" s="340"/>
      <c r="B71" s="344"/>
      <c r="C71" s="344"/>
      <c r="D71" s="344"/>
      <c r="E71" s="344"/>
      <c r="F71" s="350"/>
      <c r="G71" s="344"/>
      <c r="H71" s="589"/>
      <c r="I71" s="566"/>
      <c r="J71" s="590"/>
      <c r="K71" s="443" t="s">
        <v>522</v>
      </c>
      <c r="L71" s="441" t="s">
        <v>464</v>
      </c>
      <c r="M71" s="1824">
        <v>1000</v>
      </c>
    </row>
    <row r="72" spans="1:13" ht="18" customHeight="1">
      <c r="A72" s="340"/>
      <c r="B72" s="344"/>
      <c r="C72" s="344"/>
      <c r="D72" s="344"/>
      <c r="E72" s="344"/>
      <c r="F72" s="350"/>
      <c r="G72" s="346" t="s">
        <v>404</v>
      </c>
      <c r="H72" s="593">
        <f>M72</f>
        <v>6500</v>
      </c>
      <c r="I72" s="569">
        <v>6500</v>
      </c>
      <c r="J72" s="594">
        <f>H72-I72</f>
        <v>0</v>
      </c>
      <c r="K72" s="453" t="s">
        <v>977</v>
      </c>
      <c r="L72" s="454"/>
      <c r="M72" s="1827">
        <f>M73+M74</f>
        <v>6500</v>
      </c>
    </row>
    <row r="73" spans="1:13" ht="18" customHeight="1">
      <c r="A73" s="340"/>
      <c r="B73" s="344"/>
      <c r="C73" s="344"/>
      <c r="D73" s="344"/>
      <c r="E73" s="344"/>
      <c r="F73" s="350"/>
      <c r="G73" s="344"/>
      <c r="H73" s="589"/>
      <c r="I73" s="566"/>
      <c r="J73" s="590"/>
      <c r="K73" s="437" t="s">
        <v>523</v>
      </c>
      <c r="L73" s="441" t="s">
        <v>464</v>
      </c>
      <c r="M73" s="666">
        <v>500</v>
      </c>
    </row>
    <row r="74" spans="1:13" ht="18" customHeight="1">
      <c r="A74" s="340"/>
      <c r="B74" s="344"/>
      <c r="C74" s="344"/>
      <c r="D74" s="344"/>
      <c r="E74" s="344"/>
      <c r="F74" s="350"/>
      <c r="G74" s="344"/>
      <c r="H74" s="589"/>
      <c r="I74" s="566"/>
      <c r="J74" s="590"/>
      <c r="K74" s="433" t="s">
        <v>524</v>
      </c>
      <c r="L74" s="436" t="s">
        <v>464</v>
      </c>
      <c r="M74" s="1078">
        <v>6000</v>
      </c>
    </row>
    <row r="75" spans="1:13" ht="18" customHeight="1">
      <c r="A75" s="340"/>
      <c r="B75" s="344"/>
      <c r="C75" s="344"/>
      <c r="D75" s="344"/>
      <c r="E75" s="344"/>
      <c r="F75" s="350"/>
      <c r="G75" s="355" t="s">
        <v>405</v>
      </c>
      <c r="H75" s="593">
        <f>M75</f>
        <v>24800</v>
      </c>
      <c r="I75" s="569">
        <v>14800</v>
      </c>
      <c r="J75" s="594">
        <f>H75-I75</f>
        <v>10000</v>
      </c>
      <c r="K75" s="453" t="s">
        <v>525</v>
      </c>
      <c r="L75" s="455"/>
      <c r="M75" s="1824">
        <f>M76+M77+M78</f>
        <v>24800</v>
      </c>
    </row>
    <row r="76" spans="1:13" ht="18" customHeight="1">
      <c r="A76" s="340"/>
      <c r="B76" s="344"/>
      <c r="C76" s="344"/>
      <c r="D76" s="344"/>
      <c r="E76" s="344"/>
      <c r="F76" s="350"/>
      <c r="G76" s="344"/>
      <c r="H76" s="589"/>
      <c r="I76" s="566"/>
      <c r="J76" s="590"/>
      <c r="K76" s="433" t="s">
        <v>526</v>
      </c>
      <c r="L76" s="436" t="s">
        <v>464</v>
      </c>
      <c r="M76" s="666">
        <v>10000</v>
      </c>
    </row>
    <row r="77" spans="1:13" ht="18" customHeight="1">
      <c r="A77" s="340"/>
      <c r="B77" s="344"/>
      <c r="C77" s="344"/>
      <c r="D77" s="344"/>
      <c r="E77" s="344"/>
      <c r="F77" s="350"/>
      <c r="G77" s="344"/>
      <c r="H77" s="589"/>
      <c r="I77" s="566"/>
      <c r="J77" s="590"/>
      <c r="K77" s="433" t="s">
        <v>527</v>
      </c>
      <c r="L77" s="436" t="s">
        <v>464</v>
      </c>
      <c r="M77" s="666">
        <v>4800</v>
      </c>
    </row>
    <row r="78" spans="1:13" ht="18" customHeight="1">
      <c r="A78" s="340"/>
      <c r="B78" s="344"/>
      <c r="C78" s="344"/>
      <c r="D78" s="344"/>
      <c r="E78" s="344"/>
      <c r="F78" s="350"/>
      <c r="G78" s="344"/>
      <c r="H78" s="592"/>
      <c r="I78" s="566"/>
      <c r="J78" s="595"/>
      <c r="K78" s="433" t="s">
        <v>528</v>
      </c>
      <c r="L78" s="436" t="s">
        <v>464</v>
      </c>
      <c r="M78" s="666">
        <v>10000</v>
      </c>
    </row>
    <row r="79" spans="1:13" ht="18" customHeight="1">
      <c r="A79" s="340"/>
      <c r="B79" s="344"/>
      <c r="C79" s="344"/>
      <c r="D79" s="344"/>
      <c r="E79" s="344"/>
      <c r="F79" s="344"/>
      <c r="G79" s="346" t="s">
        <v>406</v>
      </c>
      <c r="H79" s="589">
        <f>M79</f>
        <v>156916</v>
      </c>
      <c r="I79" s="569">
        <v>132356</v>
      </c>
      <c r="J79" s="590">
        <f>H79-I79</f>
        <v>24560</v>
      </c>
      <c r="K79" s="456" t="s">
        <v>529</v>
      </c>
      <c r="L79" s="455"/>
      <c r="M79" s="1827">
        <f>M80+M81+M82+M83+M84+M87+M88+M92+M93+M94+M95+M96</f>
        <v>156916</v>
      </c>
    </row>
    <row r="80" spans="1:13" ht="18" customHeight="1">
      <c r="A80" s="340"/>
      <c r="B80" s="344"/>
      <c r="C80" s="344"/>
      <c r="D80" s="344"/>
      <c r="E80" s="344"/>
      <c r="F80" s="344"/>
      <c r="G80" s="344"/>
      <c r="H80" s="589"/>
      <c r="I80" s="566"/>
      <c r="J80" s="590"/>
      <c r="K80" s="433" t="s">
        <v>530</v>
      </c>
      <c r="L80" s="436" t="s">
        <v>464</v>
      </c>
      <c r="M80" s="1824">
        <v>10320</v>
      </c>
    </row>
    <row r="81" spans="1:13" ht="18" customHeight="1">
      <c r="A81" s="340"/>
      <c r="B81" s="344"/>
      <c r="C81" s="344"/>
      <c r="D81" s="344"/>
      <c r="E81" s="344"/>
      <c r="F81" s="344"/>
      <c r="G81" s="344"/>
      <c r="H81" s="589"/>
      <c r="I81" s="566"/>
      <c r="J81" s="590"/>
      <c r="K81" s="433" t="s">
        <v>531</v>
      </c>
      <c r="L81" s="436" t="s">
        <v>464</v>
      </c>
      <c r="M81" s="1824">
        <v>66000</v>
      </c>
    </row>
    <row r="82" spans="1:13" ht="18" customHeight="1">
      <c r="A82" s="340"/>
      <c r="B82" s="344"/>
      <c r="C82" s="344"/>
      <c r="D82" s="344"/>
      <c r="E82" s="344"/>
      <c r="F82" s="344"/>
      <c r="G82" s="344"/>
      <c r="H82" s="589"/>
      <c r="I82" s="566"/>
      <c r="J82" s="590"/>
      <c r="K82" s="457" t="s">
        <v>532</v>
      </c>
      <c r="L82" s="440" t="s">
        <v>464</v>
      </c>
      <c r="M82" s="1824">
        <v>9600</v>
      </c>
    </row>
    <row r="83" spans="1:13" ht="18" customHeight="1">
      <c r="A83" s="340"/>
      <c r="B83" s="344"/>
      <c r="C83" s="344"/>
      <c r="D83" s="344"/>
      <c r="E83" s="344"/>
      <c r="F83" s="344"/>
      <c r="G83" s="344"/>
      <c r="H83" s="589"/>
      <c r="I83" s="566"/>
      <c r="J83" s="590"/>
      <c r="K83" s="457" t="s">
        <v>533</v>
      </c>
      <c r="L83" s="440" t="s">
        <v>464</v>
      </c>
      <c r="M83" s="1824">
        <v>4800</v>
      </c>
    </row>
    <row r="84" spans="1:13" ht="18" customHeight="1">
      <c r="A84" s="340"/>
      <c r="B84" s="344"/>
      <c r="C84" s="344"/>
      <c r="D84" s="344"/>
      <c r="E84" s="344"/>
      <c r="F84" s="344"/>
      <c r="G84" s="344"/>
      <c r="H84" s="589"/>
      <c r="I84" s="566"/>
      <c r="J84" s="590"/>
      <c r="K84" s="457" t="s">
        <v>534</v>
      </c>
      <c r="L84" s="440"/>
      <c r="M84" s="1824">
        <f>SUM(M85:M86)</f>
        <v>26400</v>
      </c>
    </row>
    <row r="85" spans="1:13" ht="18" customHeight="1">
      <c r="A85" s="340"/>
      <c r="B85" s="344"/>
      <c r="C85" s="344"/>
      <c r="D85" s="344"/>
      <c r="E85" s="344"/>
      <c r="F85" s="344"/>
      <c r="G85" s="344"/>
      <c r="H85" s="589"/>
      <c r="I85" s="566"/>
      <c r="J85" s="590"/>
      <c r="K85" s="457" t="s">
        <v>535</v>
      </c>
      <c r="L85" s="440" t="s">
        <v>464</v>
      </c>
      <c r="M85" s="666">
        <v>9900</v>
      </c>
    </row>
    <row r="86" spans="1:13" ht="18" customHeight="1">
      <c r="A86" s="340"/>
      <c r="B86" s="344"/>
      <c r="C86" s="344"/>
      <c r="D86" s="344"/>
      <c r="E86" s="344"/>
      <c r="F86" s="344"/>
      <c r="G86" s="344"/>
      <c r="H86" s="589"/>
      <c r="I86" s="566"/>
      <c r="J86" s="590"/>
      <c r="K86" s="457" t="s">
        <v>536</v>
      </c>
      <c r="L86" s="440" t="s">
        <v>464</v>
      </c>
      <c r="M86" s="666">
        <v>16500</v>
      </c>
    </row>
    <row r="87" spans="1:13" ht="18" customHeight="1">
      <c r="A87" s="340"/>
      <c r="B87" s="344"/>
      <c r="C87" s="344"/>
      <c r="D87" s="344"/>
      <c r="E87" s="344"/>
      <c r="F87" s="344"/>
      <c r="G87" s="344"/>
      <c r="H87" s="589"/>
      <c r="I87" s="566"/>
      <c r="J87" s="590"/>
      <c r="K87" s="433" t="s">
        <v>537</v>
      </c>
      <c r="L87" s="436" t="s">
        <v>464</v>
      </c>
      <c r="M87" s="1824">
        <v>12000</v>
      </c>
    </row>
    <row r="88" spans="1:13" ht="18" customHeight="1">
      <c r="A88" s="340"/>
      <c r="B88" s="344"/>
      <c r="C88" s="344"/>
      <c r="D88" s="344"/>
      <c r="E88" s="344"/>
      <c r="F88" s="344"/>
      <c r="G88" s="344"/>
      <c r="H88" s="589"/>
      <c r="I88" s="566"/>
      <c r="J88" s="590"/>
      <c r="K88" s="433" t="s">
        <v>538</v>
      </c>
      <c r="L88" s="436"/>
      <c r="M88" s="1824">
        <f>SUM(M89:M91)</f>
        <v>2856</v>
      </c>
    </row>
    <row r="89" spans="1:13" ht="18" customHeight="1">
      <c r="A89" s="340"/>
      <c r="B89" s="344"/>
      <c r="C89" s="344"/>
      <c r="D89" s="344"/>
      <c r="E89" s="344"/>
      <c r="F89" s="344"/>
      <c r="G89" s="344"/>
      <c r="H89" s="589"/>
      <c r="I89" s="566"/>
      <c r="J89" s="590"/>
      <c r="K89" s="433" t="s">
        <v>539</v>
      </c>
      <c r="L89" s="436" t="s">
        <v>464</v>
      </c>
      <c r="M89" s="666">
        <v>1056</v>
      </c>
    </row>
    <row r="90" spans="1:13" ht="18" customHeight="1">
      <c r="A90" s="340"/>
      <c r="B90" s="344"/>
      <c r="C90" s="344"/>
      <c r="D90" s="344"/>
      <c r="E90" s="344"/>
      <c r="F90" s="344"/>
      <c r="G90" s="344"/>
      <c r="H90" s="589"/>
      <c r="I90" s="566"/>
      <c r="J90" s="590"/>
      <c r="K90" s="433" t="s">
        <v>540</v>
      </c>
      <c r="L90" s="436" t="s">
        <v>464</v>
      </c>
      <c r="M90" s="666">
        <v>1200</v>
      </c>
    </row>
    <row r="91" spans="1:13" ht="18" customHeight="1">
      <c r="A91" s="340"/>
      <c r="B91" s="344"/>
      <c r="C91" s="344"/>
      <c r="D91" s="344"/>
      <c r="E91" s="344"/>
      <c r="F91" s="344"/>
      <c r="G91" s="344"/>
      <c r="H91" s="589"/>
      <c r="I91" s="566"/>
      <c r="J91" s="590"/>
      <c r="K91" s="433" t="s">
        <v>541</v>
      </c>
      <c r="L91" s="436" t="s">
        <v>464</v>
      </c>
      <c r="M91" s="666">
        <v>600</v>
      </c>
    </row>
    <row r="92" spans="1:13" ht="18" customHeight="1">
      <c r="A92" s="340"/>
      <c r="B92" s="344"/>
      <c r="C92" s="344"/>
      <c r="D92" s="344"/>
      <c r="E92" s="344"/>
      <c r="F92" s="344"/>
      <c r="G92" s="344"/>
      <c r="H92" s="589"/>
      <c r="I92" s="566"/>
      <c r="J92" s="590"/>
      <c r="K92" s="433" t="s">
        <v>542</v>
      </c>
      <c r="L92" s="436" t="s">
        <v>464</v>
      </c>
      <c r="M92" s="1824">
        <v>500</v>
      </c>
    </row>
    <row r="93" spans="1:13" ht="18" customHeight="1">
      <c r="A93" s="340"/>
      <c r="B93" s="344"/>
      <c r="C93" s="344"/>
      <c r="D93" s="344"/>
      <c r="E93" s="344"/>
      <c r="F93" s="344"/>
      <c r="G93" s="344"/>
      <c r="H93" s="589"/>
      <c r="I93" s="566"/>
      <c r="J93" s="590"/>
      <c r="K93" s="433" t="s">
        <v>543</v>
      </c>
      <c r="L93" s="436" t="s">
        <v>464</v>
      </c>
      <c r="M93" s="1824">
        <v>6600</v>
      </c>
    </row>
    <row r="94" spans="1:13" ht="18" customHeight="1">
      <c r="A94" s="340"/>
      <c r="B94" s="344"/>
      <c r="C94" s="344"/>
      <c r="D94" s="344"/>
      <c r="E94" s="344"/>
      <c r="F94" s="2049"/>
      <c r="G94" s="344"/>
      <c r="H94" s="589"/>
      <c r="I94" s="565"/>
      <c r="J94" s="590"/>
      <c r="K94" s="433" t="s">
        <v>544</v>
      </c>
      <c r="L94" s="436" t="s">
        <v>464</v>
      </c>
      <c r="M94" s="1824">
        <v>3600</v>
      </c>
    </row>
    <row r="95" spans="1:13" ht="18" customHeight="1">
      <c r="A95" s="340"/>
      <c r="B95" s="344"/>
      <c r="C95" s="344"/>
      <c r="D95" s="344"/>
      <c r="E95" s="344"/>
      <c r="F95" s="2049"/>
      <c r="G95" s="344"/>
      <c r="H95" s="589"/>
      <c r="I95" s="565"/>
      <c r="J95" s="590"/>
      <c r="K95" s="433" t="s">
        <v>545</v>
      </c>
      <c r="L95" s="436" t="s">
        <v>464</v>
      </c>
      <c r="M95" s="1824">
        <v>2640</v>
      </c>
    </row>
    <row r="96" spans="1:13" ht="18" customHeight="1">
      <c r="A96" s="340"/>
      <c r="B96" s="344"/>
      <c r="C96" s="344"/>
      <c r="D96" s="344"/>
      <c r="E96" s="344"/>
      <c r="F96" s="2049"/>
      <c r="G96" s="344"/>
      <c r="H96" s="592"/>
      <c r="I96" s="565"/>
      <c r="J96" s="590"/>
      <c r="K96" s="433" t="s">
        <v>546</v>
      </c>
      <c r="L96" s="436" t="s">
        <v>464</v>
      </c>
      <c r="M96" s="1852">
        <v>11600</v>
      </c>
    </row>
    <row r="97" spans="1:13" ht="18" customHeight="1">
      <c r="A97" s="340"/>
      <c r="B97" s="344"/>
      <c r="C97" s="344"/>
      <c r="D97" s="344"/>
      <c r="E97" s="344"/>
      <c r="F97" s="350"/>
      <c r="G97" s="346" t="s">
        <v>407</v>
      </c>
      <c r="H97" s="589">
        <f>M97</f>
        <v>53907</v>
      </c>
      <c r="I97" s="569">
        <v>43050</v>
      </c>
      <c r="J97" s="594">
        <f>H97-I97</f>
        <v>10857</v>
      </c>
      <c r="K97" s="456" t="s">
        <v>547</v>
      </c>
      <c r="L97" s="458"/>
      <c r="M97" s="1824">
        <f>M98+M99+M100+M101+M102+M123+M124+M125+M126+M127+M128+M129+M134+M135</f>
        <v>53907</v>
      </c>
    </row>
    <row r="98" spans="1:13" ht="18" customHeight="1">
      <c r="A98" s="340"/>
      <c r="B98" s="344"/>
      <c r="C98" s="344"/>
      <c r="D98" s="344"/>
      <c r="E98" s="344"/>
      <c r="F98" s="344"/>
      <c r="G98" s="344"/>
      <c r="H98" s="589"/>
      <c r="I98" s="566"/>
      <c r="J98" s="590"/>
      <c r="K98" s="425" t="s">
        <v>548</v>
      </c>
      <c r="L98" s="442" t="s">
        <v>464</v>
      </c>
      <c r="M98" s="1824">
        <v>6750</v>
      </c>
    </row>
    <row r="99" spans="1:13" ht="18" customHeight="1">
      <c r="A99" s="340"/>
      <c r="B99" s="344"/>
      <c r="C99" s="344"/>
      <c r="D99" s="344"/>
      <c r="E99" s="344"/>
      <c r="F99" s="350"/>
      <c r="G99" s="344"/>
      <c r="H99" s="589"/>
      <c r="I99" s="566"/>
      <c r="J99" s="590"/>
      <c r="K99" s="425" t="s">
        <v>549</v>
      </c>
      <c r="L99" s="442" t="s">
        <v>464</v>
      </c>
      <c r="M99" s="1824">
        <v>1500</v>
      </c>
    </row>
    <row r="100" spans="1:13" ht="18" customHeight="1">
      <c r="A100" s="340"/>
      <c r="B100" s="344"/>
      <c r="C100" s="344"/>
      <c r="D100" s="344"/>
      <c r="E100" s="344"/>
      <c r="F100" s="350"/>
      <c r="G100" s="344"/>
      <c r="H100" s="589"/>
      <c r="I100" s="566"/>
      <c r="J100" s="590"/>
      <c r="K100" s="425" t="s">
        <v>550</v>
      </c>
      <c r="L100" s="442" t="s">
        <v>464</v>
      </c>
      <c r="M100" s="1824">
        <v>3200</v>
      </c>
    </row>
    <row r="101" spans="1:13" ht="18" customHeight="1">
      <c r="A101" s="340"/>
      <c r="B101" s="344"/>
      <c r="C101" s="344"/>
      <c r="D101" s="344"/>
      <c r="E101" s="344"/>
      <c r="F101" s="344"/>
      <c r="G101" s="344"/>
      <c r="H101" s="589"/>
      <c r="I101" s="566"/>
      <c r="J101" s="590"/>
      <c r="K101" s="425" t="s">
        <v>551</v>
      </c>
      <c r="L101" s="442" t="s">
        <v>464</v>
      </c>
      <c r="M101" s="1824">
        <v>14190</v>
      </c>
    </row>
    <row r="102" spans="1:13" ht="18" customHeight="1">
      <c r="A102" s="340"/>
      <c r="B102" s="344"/>
      <c r="C102" s="344"/>
      <c r="D102" s="344"/>
      <c r="E102" s="344"/>
      <c r="F102" s="344"/>
      <c r="G102" s="344"/>
      <c r="H102" s="589"/>
      <c r="I102" s="566"/>
      <c r="J102" s="590"/>
      <c r="K102" s="425" t="s">
        <v>552</v>
      </c>
      <c r="L102" s="442"/>
      <c r="M102" s="1824">
        <f>SUM(M103:M122)</f>
        <v>13863</v>
      </c>
    </row>
    <row r="103" spans="1:13" ht="18" customHeight="1">
      <c r="A103" s="340"/>
      <c r="B103" s="344"/>
      <c r="C103" s="344"/>
      <c r="D103" s="344"/>
      <c r="E103" s="344"/>
      <c r="F103" s="344"/>
      <c r="G103" s="344"/>
      <c r="H103" s="589"/>
      <c r="I103" s="566"/>
      <c r="J103" s="590"/>
      <c r="K103" s="425" t="s">
        <v>553</v>
      </c>
      <c r="L103" s="442" t="s">
        <v>464</v>
      </c>
      <c r="M103" s="666">
        <v>128</v>
      </c>
    </row>
    <row r="104" spans="1:13" ht="18" customHeight="1">
      <c r="A104" s="340"/>
      <c r="B104" s="344"/>
      <c r="C104" s="344"/>
      <c r="D104" s="344"/>
      <c r="E104" s="344"/>
      <c r="F104" s="344"/>
      <c r="G104" s="344"/>
      <c r="H104" s="589"/>
      <c r="I104" s="566"/>
      <c r="J104" s="590"/>
      <c r="K104" s="459" t="s">
        <v>554</v>
      </c>
      <c r="L104" s="442" t="s">
        <v>464</v>
      </c>
      <c r="M104" s="666">
        <v>300</v>
      </c>
    </row>
    <row r="105" spans="1:13" ht="18" customHeight="1">
      <c r="A105" s="340"/>
      <c r="B105" s="344"/>
      <c r="C105" s="344"/>
      <c r="D105" s="344"/>
      <c r="E105" s="344"/>
      <c r="F105" s="344"/>
      <c r="G105" s="344"/>
      <c r="H105" s="589"/>
      <c r="I105" s="566"/>
      <c r="J105" s="590"/>
      <c r="K105" s="460" t="s">
        <v>555</v>
      </c>
      <c r="L105" s="442" t="s">
        <v>464</v>
      </c>
      <c r="M105" s="666">
        <v>100</v>
      </c>
    </row>
    <row r="106" spans="1:13" ht="18" customHeight="1">
      <c r="A106" s="340"/>
      <c r="B106" s="344"/>
      <c r="C106" s="344"/>
      <c r="D106" s="344"/>
      <c r="E106" s="344"/>
      <c r="F106" s="344"/>
      <c r="G106" s="344"/>
      <c r="H106" s="589"/>
      <c r="I106" s="566"/>
      <c r="J106" s="590"/>
      <c r="K106" s="460" t="s">
        <v>556</v>
      </c>
      <c r="L106" s="442" t="s">
        <v>464</v>
      </c>
      <c r="M106" s="666">
        <v>45</v>
      </c>
    </row>
    <row r="107" spans="1:13" ht="18" customHeight="1">
      <c r="A107" s="340"/>
      <c r="B107" s="344"/>
      <c r="C107" s="344"/>
      <c r="D107" s="344"/>
      <c r="E107" s="344"/>
      <c r="F107" s="344"/>
      <c r="G107" s="344"/>
      <c r="H107" s="589"/>
      <c r="I107" s="566"/>
      <c r="J107" s="590"/>
      <c r="K107" s="460" t="s">
        <v>557</v>
      </c>
      <c r="L107" s="442" t="s">
        <v>464</v>
      </c>
      <c r="M107" s="666">
        <v>60</v>
      </c>
    </row>
    <row r="108" spans="1:13" ht="18" customHeight="1">
      <c r="A108" s="340"/>
      <c r="B108" s="344"/>
      <c r="C108" s="344"/>
      <c r="D108" s="344"/>
      <c r="E108" s="344"/>
      <c r="F108" s="344"/>
      <c r="G108" s="344"/>
      <c r="H108" s="589"/>
      <c r="I108" s="566"/>
      <c r="J108" s="590"/>
      <c r="K108" s="460" t="s">
        <v>558</v>
      </c>
      <c r="L108" s="442" t="s">
        <v>464</v>
      </c>
      <c r="M108" s="666">
        <v>300</v>
      </c>
    </row>
    <row r="109" spans="1:13" ht="18" customHeight="1">
      <c r="A109" s="340"/>
      <c r="B109" s="344"/>
      <c r="C109" s="344"/>
      <c r="D109" s="344"/>
      <c r="E109" s="344"/>
      <c r="F109" s="344"/>
      <c r="G109" s="344"/>
      <c r="H109" s="589"/>
      <c r="I109" s="566"/>
      <c r="J109" s="590"/>
      <c r="K109" s="460" t="s">
        <v>559</v>
      </c>
      <c r="L109" s="442" t="s">
        <v>464</v>
      </c>
      <c r="M109" s="666">
        <v>1100</v>
      </c>
    </row>
    <row r="110" spans="1:13" ht="18" customHeight="1">
      <c r="A110" s="340"/>
      <c r="B110" s="344"/>
      <c r="C110" s="344"/>
      <c r="D110" s="344"/>
      <c r="E110" s="344"/>
      <c r="F110" s="344"/>
      <c r="G110" s="344"/>
      <c r="H110" s="589"/>
      <c r="I110" s="566"/>
      <c r="J110" s="590"/>
      <c r="K110" s="460" t="s">
        <v>560</v>
      </c>
      <c r="L110" s="442" t="s">
        <v>464</v>
      </c>
      <c r="M110" s="666">
        <v>200</v>
      </c>
    </row>
    <row r="111" spans="1:13" ht="18" customHeight="1">
      <c r="A111" s="340"/>
      <c r="B111" s="344"/>
      <c r="C111" s="344"/>
      <c r="D111" s="344"/>
      <c r="E111" s="344"/>
      <c r="F111" s="344"/>
      <c r="G111" s="344"/>
      <c r="H111" s="589"/>
      <c r="I111" s="566"/>
      <c r="J111" s="590"/>
      <c r="K111" s="460" t="s">
        <v>561</v>
      </c>
      <c r="L111" s="442" t="s">
        <v>464</v>
      </c>
      <c r="M111" s="666">
        <v>400</v>
      </c>
    </row>
    <row r="112" spans="1:13" ht="18" customHeight="1">
      <c r="A112" s="340"/>
      <c r="B112" s="344"/>
      <c r="C112" s="344"/>
      <c r="D112" s="344"/>
      <c r="E112" s="344"/>
      <c r="F112" s="344"/>
      <c r="G112" s="344"/>
      <c r="H112" s="589"/>
      <c r="I112" s="566"/>
      <c r="J112" s="590"/>
      <c r="K112" s="460" t="s">
        <v>562</v>
      </c>
      <c r="L112" s="442" t="s">
        <v>464</v>
      </c>
      <c r="M112" s="666">
        <v>100</v>
      </c>
    </row>
    <row r="113" spans="1:13" ht="18" customHeight="1">
      <c r="A113" s="340"/>
      <c r="B113" s="344"/>
      <c r="C113" s="344"/>
      <c r="D113" s="344"/>
      <c r="E113" s="344"/>
      <c r="F113" s="344"/>
      <c r="G113" s="344"/>
      <c r="H113" s="589"/>
      <c r="I113" s="566"/>
      <c r="J113" s="590"/>
      <c r="K113" s="460" t="s">
        <v>563</v>
      </c>
      <c r="L113" s="442" t="s">
        <v>464</v>
      </c>
      <c r="M113" s="666">
        <v>300</v>
      </c>
    </row>
    <row r="114" spans="1:13" ht="18" customHeight="1">
      <c r="A114" s="340"/>
      <c r="B114" s="344"/>
      <c r="C114" s="344"/>
      <c r="D114" s="344"/>
      <c r="E114" s="344"/>
      <c r="F114" s="344"/>
      <c r="G114" s="344"/>
      <c r="H114" s="589"/>
      <c r="I114" s="566"/>
      <c r="J114" s="590"/>
      <c r="K114" s="460" t="s">
        <v>564</v>
      </c>
      <c r="L114" s="442" t="s">
        <v>464</v>
      </c>
      <c r="M114" s="666">
        <v>450</v>
      </c>
    </row>
    <row r="115" spans="1:13" ht="18" customHeight="1">
      <c r="A115" s="340"/>
      <c r="B115" s="344"/>
      <c r="C115" s="344"/>
      <c r="D115" s="344"/>
      <c r="E115" s="344"/>
      <c r="F115" s="344"/>
      <c r="G115" s="344"/>
      <c r="H115" s="589"/>
      <c r="I115" s="566"/>
      <c r="J115" s="590"/>
      <c r="K115" s="460" t="s">
        <v>565</v>
      </c>
      <c r="L115" s="442" t="s">
        <v>464</v>
      </c>
      <c r="M115" s="666">
        <v>210</v>
      </c>
    </row>
    <row r="116" spans="1:13" ht="18" customHeight="1">
      <c r="A116" s="340"/>
      <c r="B116" s="344"/>
      <c r="C116" s="344"/>
      <c r="D116" s="344"/>
      <c r="E116" s="344"/>
      <c r="F116" s="344"/>
      <c r="G116" s="344"/>
      <c r="H116" s="589"/>
      <c r="I116" s="566"/>
      <c r="J116" s="590"/>
      <c r="K116" s="460" t="s">
        <v>566</v>
      </c>
      <c r="L116" s="442" t="s">
        <v>464</v>
      </c>
      <c r="M116" s="666">
        <v>200</v>
      </c>
    </row>
    <row r="117" spans="1:13" ht="18" customHeight="1">
      <c r="A117" s="340"/>
      <c r="B117" s="344"/>
      <c r="C117" s="344"/>
      <c r="D117" s="344"/>
      <c r="E117" s="344"/>
      <c r="F117" s="344"/>
      <c r="G117" s="344"/>
      <c r="H117" s="589"/>
      <c r="I117" s="566"/>
      <c r="J117" s="590"/>
      <c r="K117" s="460" t="s">
        <v>567</v>
      </c>
      <c r="L117" s="442" t="s">
        <v>464</v>
      </c>
      <c r="M117" s="666">
        <v>5500</v>
      </c>
    </row>
    <row r="118" spans="1:13" ht="18" customHeight="1">
      <c r="A118" s="340"/>
      <c r="B118" s="344"/>
      <c r="C118" s="344"/>
      <c r="D118" s="344"/>
      <c r="E118" s="344"/>
      <c r="F118" s="344"/>
      <c r="G118" s="344"/>
      <c r="H118" s="589"/>
      <c r="I118" s="566"/>
      <c r="J118" s="590"/>
      <c r="K118" s="460" t="s">
        <v>568</v>
      </c>
      <c r="L118" s="442" t="s">
        <v>464</v>
      </c>
      <c r="M118" s="666">
        <v>70</v>
      </c>
    </row>
    <row r="119" spans="1:13" ht="18" customHeight="1">
      <c r="A119" s="340"/>
      <c r="B119" s="344"/>
      <c r="C119" s="344"/>
      <c r="D119" s="344"/>
      <c r="E119" s="344"/>
      <c r="F119" s="344"/>
      <c r="G119" s="344"/>
      <c r="H119" s="589"/>
      <c r="I119" s="566"/>
      <c r="J119" s="590"/>
      <c r="K119" s="460" t="s">
        <v>569</v>
      </c>
      <c r="L119" s="442" t="s">
        <v>464</v>
      </c>
      <c r="M119" s="666">
        <v>400</v>
      </c>
    </row>
    <row r="120" spans="1:13" ht="18" customHeight="1">
      <c r="A120" s="340"/>
      <c r="B120" s="344"/>
      <c r="C120" s="344"/>
      <c r="D120" s="344"/>
      <c r="E120" s="344"/>
      <c r="F120" s="344"/>
      <c r="G120" s="344"/>
      <c r="H120" s="589"/>
      <c r="I120" s="566"/>
      <c r="J120" s="590"/>
      <c r="K120" s="460" t="s">
        <v>570</v>
      </c>
      <c r="L120" s="442" t="s">
        <v>464</v>
      </c>
      <c r="M120" s="666">
        <v>300</v>
      </c>
    </row>
    <row r="121" spans="1:13" ht="18" customHeight="1">
      <c r="A121" s="340"/>
      <c r="B121" s="344"/>
      <c r="C121" s="344"/>
      <c r="D121" s="344"/>
      <c r="E121" s="344"/>
      <c r="F121" s="344"/>
      <c r="G121" s="344"/>
      <c r="H121" s="589"/>
      <c r="I121" s="566"/>
      <c r="J121" s="590"/>
      <c r="K121" s="460" t="s">
        <v>571</v>
      </c>
      <c r="L121" s="442" t="s">
        <v>464</v>
      </c>
      <c r="M121" s="666">
        <v>2500</v>
      </c>
    </row>
    <row r="122" spans="1:13" ht="18" customHeight="1">
      <c r="A122" s="340"/>
      <c r="B122" s="344"/>
      <c r="C122" s="344"/>
      <c r="D122" s="344"/>
      <c r="E122" s="344"/>
      <c r="F122" s="344"/>
      <c r="G122" s="344"/>
      <c r="H122" s="589"/>
      <c r="I122" s="566"/>
      <c r="J122" s="590"/>
      <c r="K122" s="443" t="s">
        <v>572</v>
      </c>
      <c r="L122" s="461" t="s">
        <v>464</v>
      </c>
      <c r="M122" s="666">
        <v>1200</v>
      </c>
    </row>
    <row r="123" spans="1:13" ht="18" customHeight="1">
      <c r="A123" s="340"/>
      <c r="B123" s="344"/>
      <c r="C123" s="344"/>
      <c r="D123" s="344"/>
      <c r="E123" s="344"/>
      <c r="F123" s="344"/>
      <c r="G123" s="344"/>
      <c r="H123" s="589"/>
      <c r="I123" s="566"/>
      <c r="J123" s="590"/>
      <c r="K123" s="443" t="s">
        <v>573</v>
      </c>
      <c r="L123" s="461" t="s">
        <v>464</v>
      </c>
      <c r="M123" s="1824">
        <v>900</v>
      </c>
    </row>
    <row r="124" spans="1:13" ht="18" customHeight="1">
      <c r="A124" s="340"/>
      <c r="B124" s="344"/>
      <c r="C124" s="344"/>
      <c r="D124" s="344"/>
      <c r="E124" s="344"/>
      <c r="F124" s="344"/>
      <c r="G124" s="344"/>
      <c r="H124" s="589"/>
      <c r="I124" s="566"/>
      <c r="J124" s="590"/>
      <c r="K124" s="462" t="s">
        <v>574</v>
      </c>
      <c r="L124" s="441" t="s">
        <v>464</v>
      </c>
      <c r="M124" s="1824">
        <v>480</v>
      </c>
    </row>
    <row r="125" spans="1:13" ht="18" customHeight="1">
      <c r="A125" s="340"/>
      <c r="B125" s="344"/>
      <c r="C125" s="344"/>
      <c r="D125" s="344"/>
      <c r="E125" s="344"/>
      <c r="F125" s="344"/>
      <c r="G125" s="344"/>
      <c r="H125" s="589"/>
      <c r="I125" s="566"/>
      <c r="J125" s="590"/>
      <c r="K125" s="462" t="s">
        <v>575</v>
      </c>
      <c r="L125" s="441" t="s">
        <v>464</v>
      </c>
      <c r="M125" s="1824">
        <v>880</v>
      </c>
    </row>
    <row r="126" spans="1:13" ht="18" customHeight="1">
      <c r="A126" s="340"/>
      <c r="B126" s="344"/>
      <c r="C126" s="344"/>
      <c r="D126" s="344"/>
      <c r="E126" s="344"/>
      <c r="F126" s="344"/>
      <c r="G126" s="344"/>
      <c r="H126" s="589"/>
      <c r="I126" s="566"/>
      <c r="J126" s="590"/>
      <c r="K126" s="462" t="s">
        <v>576</v>
      </c>
      <c r="L126" s="441" t="s">
        <v>464</v>
      </c>
      <c r="M126" s="1824">
        <v>880</v>
      </c>
    </row>
    <row r="127" spans="1:13" ht="18" customHeight="1">
      <c r="A127" s="340"/>
      <c r="B127" s="344"/>
      <c r="C127" s="344"/>
      <c r="D127" s="344"/>
      <c r="E127" s="344"/>
      <c r="F127" s="344"/>
      <c r="G127" s="344"/>
      <c r="H127" s="589"/>
      <c r="I127" s="566"/>
      <c r="J127" s="590"/>
      <c r="K127" s="463" t="s">
        <v>577</v>
      </c>
      <c r="L127" s="442" t="s">
        <v>464</v>
      </c>
      <c r="M127" s="1824">
        <v>3200</v>
      </c>
    </row>
    <row r="128" spans="1:13" ht="18" customHeight="1">
      <c r="A128" s="340"/>
      <c r="B128" s="344"/>
      <c r="C128" s="344"/>
      <c r="D128" s="344"/>
      <c r="E128" s="344"/>
      <c r="F128" s="344"/>
      <c r="G128" s="344"/>
      <c r="H128" s="589"/>
      <c r="I128" s="566"/>
      <c r="J128" s="590"/>
      <c r="K128" s="443" t="s">
        <v>578</v>
      </c>
      <c r="L128" s="442" t="s">
        <v>464</v>
      </c>
      <c r="M128" s="1824">
        <v>2000</v>
      </c>
    </row>
    <row r="129" spans="1:13" ht="18" customHeight="1">
      <c r="A129" s="340"/>
      <c r="B129" s="344"/>
      <c r="C129" s="344"/>
      <c r="D129" s="344"/>
      <c r="E129" s="344"/>
      <c r="F129" s="344"/>
      <c r="G129" s="344"/>
      <c r="H129" s="589"/>
      <c r="I129" s="566"/>
      <c r="J129" s="590"/>
      <c r="K129" s="443" t="s">
        <v>579</v>
      </c>
      <c r="L129" s="461"/>
      <c r="M129" s="1824">
        <f>SUM(M130:M133)</f>
        <v>4914</v>
      </c>
    </row>
    <row r="130" spans="1:13" ht="18" customHeight="1">
      <c r="A130" s="340"/>
      <c r="B130" s="344"/>
      <c r="C130" s="344"/>
      <c r="D130" s="344"/>
      <c r="E130" s="344"/>
      <c r="F130" s="344"/>
      <c r="G130" s="344"/>
      <c r="H130" s="589"/>
      <c r="I130" s="566"/>
      <c r="J130" s="590"/>
      <c r="K130" s="443" t="s">
        <v>580</v>
      </c>
      <c r="L130" s="461" t="s">
        <v>464</v>
      </c>
      <c r="M130" s="666">
        <v>1200</v>
      </c>
    </row>
    <row r="131" spans="1:13" ht="18" customHeight="1">
      <c r="A131" s="340"/>
      <c r="B131" s="344"/>
      <c r="C131" s="344"/>
      <c r="D131" s="344"/>
      <c r="E131" s="344"/>
      <c r="F131" s="344"/>
      <c r="G131" s="344"/>
      <c r="H131" s="589"/>
      <c r="I131" s="566"/>
      <c r="J131" s="590"/>
      <c r="K131" s="443" t="s">
        <v>581</v>
      </c>
      <c r="L131" s="461" t="s">
        <v>464</v>
      </c>
      <c r="M131" s="666">
        <v>2100</v>
      </c>
    </row>
    <row r="132" spans="1:13" ht="18" customHeight="1">
      <c r="A132" s="340"/>
      <c r="B132" s="344"/>
      <c r="C132" s="344"/>
      <c r="D132" s="344"/>
      <c r="E132" s="344"/>
      <c r="F132" s="344"/>
      <c r="G132" s="344"/>
      <c r="H132" s="589"/>
      <c r="I132" s="566"/>
      <c r="J132" s="590"/>
      <c r="K132" s="464" t="s">
        <v>582</v>
      </c>
      <c r="L132" s="461" t="s">
        <v>464</v>
      </c>
      <c r="M132" s="666">
        <v>1014</v>
      </c>
    </row>
    <row r="133" spans="1:13" ht="18" customHeight="1">
      <c r="A133" s="340"/>
      <c r="B133" s="344"/>
      <c r="C133" s="344"/>
      <c r="D133" s="344"/>
      <c r="E133" s="344"/>
      <c r="F133" s="344"/>
      <c r="G133" s="344"/>
      <c r="H133" s="589"/>
      <c r="I133" s="566"/>
      <c r="J133" s="590"/>
      <c r="K133" s="443" t="s">
        <v>583</v>
      </c>
      <c r="L133" s="461" t="s">
        <v>464</v>
      </c>
      <c r="M133" s="666">
        <v>600</v>
      </c>
    </row>
    <row r="134" spans="1:13" ht="18" customHeight="1">
      <c r="A134" s="340"/>
      <c r="B134" s="344"/>
      <c r="C134" s="344"/>
      <c r="D134" s="344"/>
      <c r="E134" s="344"/>
      <c r="F134" s="344"/>
      <c r="G134" s="344"/>
      <c r="H134" s="589"/>
      <c r="I134" s="566"/>
      <c r="J134" s="590"/>
      <c r="K134" s="465" t="s">
        <v>584</v>
      </c>
      <c r="L134" s="461" t="s">
        <v>464</v>
      </c>
      <c r="M134" s="1824">
        <v>750</v>
      </c>
    </row>
    <row r="135" spans="1:13" ht="18" customHeight="1">
      <c r="A135" s="340"/>
      <c r="B135" s="344"/>
      <c r="C135" s="344"/>
      <c r="D135" s="344"/>
      <c r="E135" s="344"/>
      <c r="F135" s="344"/>
      <c r="G135" s="344"/>
      <c r="H135" s="589"/>
      <c r="I135" s="566"/>
      <c r="J135" s="590"/>
      <c r="K135" s="465" t="s">
        <v>585</v>
      </c>
      <c r="L135" s="461" t="s">
        <v>464</v>
      </c>
      <c r="M135" s="1852">
        <v>400</v>
      </c>
    </row>
    <row r="136" spans="1:13" ht="18" customHeight="1">
      <c r="A136" s="340"/>
      <c r="B136" s="344"/>
      <c r="C136" s="344"/>
      <c r="D136" s="344"/>
      <c r="E136" s="344"/>
      <c r="F136" s="344"/>
      <c r="G136" s="346" t="s">
        <v>408</v>
      </c>
      <c r="H136" s="593">
        <f>M136</f>
        <v>103421</v>
      </c>
      <c r="I136" s="570">
        <v>99031</v>
      </c>
      <c r="J136" s="594">
        <f>H136-I136</f>
        <v>4390</v>
      </c>
      <c r="K136" s="456" t="s">
        <v>586</v>
      </c>
      <c r="L136" s="458"/>
      <c r="M136" s="1824">
        <f>M137+M138+M139+M140+M143+M146+M147+M148+M151+M152</f>
        <v>103421</v>
      </c>
    </row>
    <row r="137" spans="1:13" ht="18" customHeight="1">
      <c r="A137" s="340"/>
      <c r="B137" s="344"/>
      <c r="C137" s="344"/>
      <c r="D137" s="344"/>
      <c r="E137" s="344"/>
      <c r="F137" s="350"/>
      <c r="G137" s="344"/>
      <c r="H137" s="589"/>
      <c r="I137" s="565"/>
      <c r="J137" s="590"/>
      <c r="K137" s="433" t="s">
        <v>587</v>
      </c>
      <c r="L137" s="436" t="s">
        <v>464</v>
      </c>
      <c r="M137" s="1824">
        <v>12000</v>
      </c>
    </row>
    <row r="138" spans="1:13" ht="18" customHeight="1">
      <c r="A138" s="340"/>
      <c r="B138" s="344"/>
      <c r="C138" s="344"/>
      <c r="D138" s="344"/>
      <c r="E138" s="344"/>
      <c r="F138" s="350"/>
      <c r="G138" s="344"/>
      <c r="H138" s="589"/>
      <c r="I138" s="565"/>
      <c r="J138" s="590"/>
      <c r="K138" s="433" t="s">
        <v>588</v>
      </c>
      <c r="L138" s="436" t="s">
        <v>464</v>
      </c>
      <c r="M138" s="1824">
        <v>6840</v>
      </c>
    </row>
    <row r="139" spans="1:13" ht="18" customHeight="1">
      <c r="A139" s="340"/>
      <c r="B139" s="344"/>
      <c r="C139" s="344"/>
      <c r="D139" s="344"/>
      <c r="E139" s="344"/>
      <c r="F139" s="350"/>
      <c r="G139" s="344"/>
      <c r="H139" s="589"/>
      <c r="I139" s="565"/>
      <c r="J139" s="590"/>
      <c r="K139" s="437" t="s">
        <v>589</v>
      </c>
      <c r="L139" s="436" t="s">
        <v>464</v>
      </c>
      <c r="M139" s="1824">
        <v>840</v>
      </c>
    </row>
    <row r="140" spans="1:13" ht="18" customHeight="1">
      <c r="A140" s="340"/>
      <c r="B140" s="344"/>
      <c r="C140" s="344"/>
      <c r="D140" s="344"/>
      <c r="E140" s="344"/>
      <c r="F140" s="344"/>
      <c r="G140" s="344"/>
      <c r="H140" s="589"/>
      <c r="I140" s="565"/>
      <c r="J140" s="590"/>
      <c r="K140" s="433" t="s">
        <v>590</v>
      </c>
      <c r="L140" s="466"/>
      <c r="M140" s="1824">
        <f>SUM(M141:M142)</f>
        <v>1222</v>
      </c>
    </row>
    <row r="141" spans="1:13" ht="18" customHeight="1">
      <c r="A141" s="340"/>
      <c r="B141" s="344"/>
      <c r="C141" s="344"/>
      <c r="D141" s="344"/>
      <c r="E141" s="344"/>
      <c r="F141" s="344"/>
      <c r="G141" s="344"/>
      <c r="H141" s="589"/>
      <c r="I141" s="565"/>
      <c r="J141" s="590"/>
      <c r="K141" s="457" t="s">
        <v>591</v>
      </c>
      <c r="L141" s="440" t="s">
        <v>464</v>
      </c>
      <c r="M141" s="666">
        <v>575</v>
      </c>
    </row>
    <row r="142" spans="1:13" ht="18" customHeight="1">
      <c r="A142" s="340"/>
      <c r="B142" s="344"/>
      <c r="C142" s="344"/>
      <c r="D142" s="344"/>
      <c r="E142" s="344"/>
      <c r="F142" s="344"/>
      <c r="G142" s="344"/>
      <c r="H142" s="589"/>
      <c r="I142" s="565"/>
      <c r="J142" s="590"/>
      <c r="K142" s="457" t="s">
        <v>592</v>
      </c>
      <c r="L142" s="467" t="s">
        <v>464</v>
      </c>
      <c r="M142" s="666">
        <v>647</v>
      </c>
    </row>
    <row r="143" spans="1:13" ht="18" customHeight="1">
      <c r="A143" s="340"/>
      <c r="B143" s="344"/>
      <c r="C143" s="344"/>
      <c r="D143" s="344"/>
      <c r="E143" s="344"/>
      <c r="F143" s="344"/>
      <c r="G143" s="344"/>
      <c r="H143" s="589"/>
      <c r="I143" s="565"/>
      <c r="J143" s="590"/>
      <c r="K143" s="433" t="s">
        <v>593</v>
      </c>
      <c r="L143" s="466"/>
      <c r="M143" s="1824">
        <f>SUM(M144:M145)</f>
        <v>599</v>
      </c>
    </row>
    <row r="144" spans="1:13" ht="18" customHeight="1">
      <c r="A144" s="340"/>
      <c r="B144" s="344"/>
      <c r="C144" s="344"/>
      <c r="D144" s="344"/>
      <c r="E144" s="344"/>
      <c r="F144" s="344"/>
      <c r="G144" s="344"/>
      <c r="H144" s="589"/>
      <c r="I144" s="565"/>
      <c r="J144" s="590"/>
      <c r="K144" s="433" t="s">
        <v>594</v>
      </c>
      <c r="L144" s="466" t="s">
        <v>464</v>
      </c>
      <c r="M144" s="666">
        <v>312</v>
      </c>
    </row>
    <row r="145" spans="1:13" ht="18" customHeight="1">
      <c r="A145" s="340"/>
      <c r="B145" s="344"/>
      <c r="C145" s="344"/>
      <c r="D145" s="344"/>
      <c r="E145" s="344"/>
      <c r="F145" s="344"/>
      <c r="G145" s="344"/>
      <c r="H145" s="589"/>
      <c r="I145" s="565"/>
      <c r="J145" s="590"/>
      <c r="K145" s="433" t="s">
        <v>595</v>
      </c>
      <c r="L145" s="466" t="s">
        <v>464</v>
      </c>
      <c r="M145" s="666">
        <v>287</v>
      </c>
    </row>
    <row r="146" spans="1:13" ht="18" customHeight="1">
      <c r="A146" s="340"/>
      <c r="B146" s="344"/>
      <c r="C146" s="344"/>
      <c r="D146" s="344"/>
      <c r="E146" s="344"/>
      <c r="F146" s="344"/>
      <c r="G146" s="344"/>
      <c r="H146" s="589"/>
      <c r="I146" s="566"/>
      <c r="J146" s="590"/>
      <c r="K146" s="433" t="s">
        <v>596</v>
      </c>
      <c r="L146" s="436" t="s">
        <v>464</v>
      </c>
      <c r="M146" s="1824">
        <v>2452</v>
      </c>
    </row>
    <row r="147" spans="1:13" ht="18" customHeight="1">
      <c r="A147" s="340"/>
      <c r="B147" s="344"/>
      <c r="C147" s="344"/>
      <c r="D147" s="344"/>
      <c r="E147" s="344"/>
      <c r="F147" s="344"/>
      <c r="G147" s="344"/>
      <c r="H147" s="589"/>
      <c r="I147" s="566"/>
      <c r="J147" s="590"/>
      <c r="K147" s="433" t="s">
        <v>597</v>
      </c>
      <c r="L147" s="436" t="s">
        <v>464</v>
      </c>
      <c r="M147" s="1824">
        <v>1800</v>
      </c>
    </row>
    <row r="148" spans="1:13" ht="18" customHeight="1">
      <c r="A148" s="340"/>
      <c r="B148" s="344"/>
      <c r="C148" s="344"/>
      <c r="D148" s="344"/>
      <c r="E148" s="344"/>
      <c r="F148" s="344"/>
      <c r="G148" s="344"/>
      <c r="H148" s="589"/>
      <c r="I148" s="565"/>
      <c r="J148" s="590"/>
      <c r="K148" s="433" t="s">
        <v>598</v>
      </c>
      <c r="L148" s="466"/>
      <c r="M148" s="1824">
        <f>SUM(M149:M150)</f>
        <v>1305</v>
      </c>
    </row>
    <row r="149" spans="1:13" ht="18" customHeight="1">
      <c r="A149" s="340"/>
      <c r="B149" s="344"/>
      <c r="C149" s="344"/>
      <c r="D149" s="344"/>
      <c r="E149" s="344"/>
      <c r="F149" s="344"/>
      <c r="G149" s="344"/>
      <c r="H149" s="589"/>
      <c r="I149" s="565"/>
      <c r="J149" s="590"/>
      <c r="K149" s="457" t="s">
        <v>599</v>
      </c>
      <c r="L149" s="466" t="s">
        <v>464</v>
      </c>
      <c r="M149" s="666">
        <v>480</v>
      </c>
    </row>
    <row r="150" spans="1:13" ht="18" customHeight="1">
      <c r="A150" s="340"/>
      <c r="B150" s="344"/>
      <c r="C150" s="344"/>
      <c r="D150" s="344"/>
      <c r="E150" s="344"/>
      <c r="F150" s="344"/>
      <c r="G150" s="344"/>
      <c r="H150" s="589"/>
      <c r="I150" s="565"/>
      <c r="J150" s="590"/>
      <c r="K150" s="457" t="s">
        <v>600</v>
      </c>
      <c r="L150" s="466" t="s">
        <v>464</v>
      </c>
      <c r="M150" s="666">
        <v>825</v>
      </c>
    </row>
    <row r="151" spans="1:13" ht="18" customHeight="1">
      <c r="A151" s="340"/>
      <c r="B151" s="344"/>
      <c r="C151" s="344"/>
      <c r="D151" s="344"/>
      <c r="E151" s="344"/>
      <c r="F151" s="344"/>
      <c r="G151" s="344"/>
      <c r="H151" s="589"/>
      <c r="I151" s="565"/>
      <c r="J151" s="590"/>
      <c r="K151" s="433" t="s">
        <v>601</v>
      </c>
      <c r="L151" s="466" t="s">
        <v>464</v>
      </c>
      <c r="M151" s="1824">
        <v>763</v>
      </c>
    </row>
    <row r="152" spans="1:13" ht="18" customHeight="1">
      <c r="A152" s="340"/>
      <c r="B152" s="344"/>
      <c r="C152" s="344"/>
      <c r="D152" s="344"/>
      <c r="E152" s="344"/>
      <c r="F152" s="344"/>
      <c r="G152" s="344"/>
      <c r="H152" s="592"/>
      <c r="I152" s="565"/>
      <c r="J152" s="590"/>
      <c r="K152" s="437" t="s">
        <v>602</v>
      </c>
      <c r="L152" s="436" t="s">
        <v>464</v>
      </c>
      <c r="M152" s="1852">
        <v>75600</v>
      </c>
    </row>
    <row r="153" spans="1:13" ht="18" customHeight="1">
      <c r="A153" s="340"/>
      <c r="B153" s="344"/>
      <c r="C153" s="344"/>
      <c r="D153" s="344"/>
      <c r="E153" s="344"/>
      <c r="F153" s="350"/>
      <c r="G153" s="346" t="s">
        <v>409</v>
      </c>
      <c r="H153" s="589">
        <f>M153</f>
        <v>4625</v>
      </c>
      <c r="I153" s="570">
        <v>4500</v>
      </c>
      <c r="J153" s="594">
        <f>H153-I153</f>
        <v>125</v>
      </c>
      <c r="K153" s="456" t="s">
        <v>603</v>
      </c>
      <c r="L153" s="455"/>
      <c r="M153" s="1824">
        <f>M154+M155+M156+M157+M158+M159+M160+M161+M164+M165</f>
        <v>4625</v>
      </c>
    </row>
    <row r="154" spans="1:13" ht="18" customHeight="1">
      <c r="A154" s="340"/>
      <c r="B154" s="344"/>
      <c r="C154" s="344"/>
      <c r="D154" s="344"/>
      <c r="E154" s="344"/>
      <c r="F154" s="350"/>
      <c r="G154" s="344"/>
      <c r="H154" s="589"/>
      <c r="I154" s="565"/>
      <c r="J154" s="590"/>
      <c r="K154" s="437" t="s">
        <v>604</v>
      </c>
      <c r="L154" s="441" t="s">
        <v>464</v>
      </c>
      <c r="M154" s="1824">
        <v>525</v>
      </c>
    </row>
    <row r="155" spans="1:13" ht="18" customHeight="1">
      <c r="A155" s="340"/>
      <c r="B155" s="344"/>
      <c r="C155" s="344"/>
      <c r="D155" s="344"/>
      <c r="E155" s="344"/>
      <c r="F155" s="344"/>
      <c r="G155" s="344"/>
      <c r="H155" s="589"/>
      <c r="I155" s="565"/>
      <c r="J155" s="590"/>
      <c r="K155" s="437" t="s">
        <v>605</v>
      </c>
      <c r="L155" s="441" t="s">
        <v>464</v>
      </c>
      <c r="M155" s="1824">
        <v>1000</v>
      </c>
    </row>
    <row r="156" spans="1:13" ht="18" customHeight="1">
      <c r="A156" s="340"/>
      <c r="B156" s="344"/>
      <c r="C156" s="344"/>
      <c r="D156" s="344"/>
      <c r="E156" s="344"/>
      <c r="F156" s="344"/>
      <c r="G156" s="344"/>
      <c r="H156" s="589"/>
      <c r="I156" s="565"/>
      <c r="J156" s="590"/>
      <c r="K156" s="437" t="s">
        <v>606</v>
      </c>
      <c r="L156" s="441" t="s">
        <v>464</v>
      </c>
      <c r="M156" s="1824">
        <v>375</v>
      </c>
    </row>
    <row r="157" spans="1:13" ht="18" customHeight="1">
      <c r="A157" s="340"/>
      <c r="B157" s="344"/>
      <c r="C157" s="344"/>
      <c r="D157" s="344"/>
      <c r="E157" s="344"/>
      <c r="F157" s="344"/>
      <c r="G157" s="344"/>
      <c r="H157" s="589"/>
      <c r="I157" s="565"/>
      <c r="J157" s="590"/>
      <c r="K157" s="437" t="s">
        <v>607</v>
      </c>
      <c r="L157" s="441" t="s">
        <v>464</v>
      </c>
      <c r="M157" s="1824">
        <v>500</v>
      </c>
    </row>
    <row r="158" spans="1:13" ht="18" customHeight="1">
      <c r="A158" s="340"/>
      <c r="B158" s="344"/>
      <c r="C158" s="344"/>
      <c r="D158" s="344"/>
      <c r="E158" s="344"/>
      <c r="F158" s="344"/>
      <c r="G158" s="344"/>
      <c r="H158" s="589"/>
      <c r="I158" s="565"/>
      <c r="J158" s="590"/>
      <c r="K158" s="437" t="s">
        <v>608</v>
      </c>
      <c r="L158" s="441" t="s">
        <v>464</v>
      </c>
      <c r="M158" s="1824">
        <v>250</v>
      </c>
    </row>
    <row r="159" spans="1:13" ht="18" customHeight="1">
      <c r="A159" s="340"/>
      <c r="B159" s="344"/>
      <c r="C159" s="344"/>
      <c r="D159" s="344"/>
      <c r="E159" s="344"/>
      <c r="F159" s="344"/>
      <c r="G159" s="344"/>
      <c r="H159" s="589"/>
      <c r="I159" s="565"/>
      <c r="J159" s="590"/>
      <c r="K159" s="443" t="s">
        <v>609</v>
      </c>
      <c r="L159" s="441" t="s">
        <v>464</v>
      </c>
      <c r="M159" s="1824">
        <v>225</v>
      </c>
    </row>
    <row r="160" spans="1:13" ht="18" customHeight="1">
      <c r="A160" s="340"/>
      <c r="B160" s="344"/>
      <c r="C160" s="344"/>
      <c r="D160" s="344"/>
      <c r="E160" s="344"/>
      <c r="F160" s="344"/>
      <c r="G160" s="344"/>
      <c r="H160" s="589"/>
      <c r="I160" s="565"/>
      <c r="J160" s="590"/>
      <c r="K160" s="443" t="s">
        <v>610</v>
      </c>
      <c r="L160" s="441" t="s">
        <v>464</v>
      </c>
      <c r="M160" s="1824">
        <v>800</v>
      </c>
    </row>
    <row r="161" spans="1:13" ht="18" customHeight="1">
      <c r="A161" s="340"/>
      <c r="B161" s="344"/>
      <c r="C161" s="344"/>
      <c r="D161" s="344"/>
      <c r="E161" s="344"/>
      <c r="F161" s="344"/>
      <c r="G161" s="344"/>
      <c r="H161" s="589"/>
      <c r="I161" s="565"/>
      <c r="J161" s="590"/>
      <c r="K161" s="443" t="s">
        <v>611</v>
      </c>
      <c r="L161" s="461"/>
      <c r="M161" s="1824">
        <f>SUM(M162:M163)</f>
        <v>475</v>
      </c>
    </row>
    <row r="162" spans="1:13" ht="18" customHeight="1">
      <c r="A162" s="340"/>
      <c r="B162" s="344"/>
      <c r="C162" s="344"/>
      <c r="D162" s="344"/>
      <c r="E162" s="344"/>
      <c r="F162" s="344"/>
      <c r="G162" s="344"/>
      <c r="H162" s="589"/>
      <c r="I162" s="565"/>
      <c r="J162" s="590"/>
      <c r="K162" s="443" t="s">
        <v>612</v>
      </c>
      <c r="L162" s="441" t="s">
        <v>464</v>
      </c>
      <c r="M162" s="666">
        <v>175</v>
      </c>
    </row>
    <row r="163" spans="1:13" ht="18" customHeight="1">
      <c r="A163" s="340"/>
      <c r="B163" s="344"/>
      <c r="C163" s="344"/>
      <c r="D163" s="344"/>
      <c r="E163" s="344"/>
      <c r="F163" s="344"/>
      <c r="G163" s="344"/>
      <c r="H163" s="589"/>
      <c r="I163" s="565"/>
      <c r="J163" s="590"/>
      <c r="K163" s="443" t="s">
        <v>613</v>
      </c>
      <c r="L163" s="461" t="s">
        <v>464</v>
      </c>
      <c r="M163" s="666">
        <v>300</v>
      </c>
    </row>
    <row r="164" spans="1:13" ht="18" customHeight="1">
      <c r="A164" s="340"/>
      <c r="B164" s="344"/>
      <c r="C164" s="344"/>
      <c r="D164" s="344"/>
      <c r="E164" s="344"/>
      <c r="F164" s="344"/>
      <c r="G164" s="344"/>
      <c r="H164" s="589"/>
      <c r="I164" s="565"/>
      <c r="J164" s="590"/>
      <c r="K164" s="443" t="s">
        <v>614</v>
      </c>
      <c r="L164" s="461" t="s">
        <v>464</v>
      </c>
      <c r="M164" s="1824">
        <v>100</v>
      </c>
    </row>
    <row r="165" spans="1:13" ht="18" customHeight="1">
      <c r="A165" s="340"/>
      <c r="B165" s="344"/>
      <c r="C165" s="344"/>
      <c r="D165" s="344"/>
      <c r="E165" s="344"/>
      <c r="F165" s="344"/>
      <c r="G165" s="344"/>
      <c r="H165" s="589"/>
      <c r="I165" s="565"/>
      <c r="J165" s="590"/>
      <c r="K165" s="443" t="s">
        <v>615</v>
      </c>
      <c r="L165" s="461"/>
      <c r="M165" s="1824">
        <f>SUM(M166:M167)</f>
        <v>375</v>
      </c>
    </row>
    <row r="166" spans="1:13" ht="18" customHeight="1">
      <c r="A166" s="340"/>
      <c r="B166" s="344"/>
      <c r="C166" s="344"/>
      <c r="D166" s="344"/>
      <c r="E166" s="344"/>
      <c r="F166" s="344"/>
      <c r="G166" s="344"/>
      <c r="H166" s="589"/>
      <c r="I166" s="565"/>
      <c r="J166" s="590"/>
      <c r="K166" s="443" t="s">
        <v>616</v>
      </c>
      <c r="L166" s="461" t="s">
        <v>464</v>
      </c>
      <c r="M166" s="666">
        <v>250</v>
      </c>
    </row>
    <row r="167" spans="1:13" ht="18" customHeight="1">
      <c r="A167" s="340"/>
      <c r="B167" s="344"/>
      <c r="C167" s="344"/>
      <c r="D167" s="344"/>
      <c r="E167" s="344"/>
      <c r="F167" s="344"/>
      <c r="G167" s="344"/>
      <c r="H167" s="589"/>
      <c r="I167" s="565"/>
      <c r="J167" s="590"/>
      <c r="K167" s="443" t="s">
        <v>617</v>
      </c>
      <c r="L167" s="461" t="s">
        <v>464</v>
      </c>
      <c r="M167" s="666">
        <v>125</v>
      </c>
    </row>
    <row r="168" spans="1:13" ht="18" customHeight="1">
      <c r="A168" s="340"/>
      <c r="B168" s="344"/>
      <c r="C168" s="344"/>
      <c r="D168" s="344"/>
      <c r="E168" s="344"/>
      <c r="F168" s="350"/>
      <c r="G168" s="346" t="s">
        <v>410</v>
      </c>
      <c r="H168" s="593">
        <f>M168</f>
        <v>929805</v>
      </c>
      <c r="I168" s="570">
        <v>823810</v>
      </c>
      <c r="J168" s="594">
        <f>H168-I168</f>
        <v>105995</v>
      </c>
      <c r="K168" s="456" t="s">
        <v>618</v>
      </c>
      <c r="L168" s="455"/>
      <c r="M168" s="1827">
        <f>SUM(M169+M172+M175+M177+M180+M181+M188+M192+M195)</f>
        <v>929805</v>
      </c>
    </row>
    <row r="169" spans="1:13" ht="18" customHeight="1">
      <c r="A169" s="340"/>
      <c r="B169" s="344"/>
      <c r="C169" s="344"/>
      <c r="D169" s="344"/>
      <c r="E169" s="344"/>
      <c r="F169" s="344"/>
      <c r="G169" s="344"/>
      <c r="H169" s="589"/>
      <c r="I169" s="565"/>
      <c r="J169" s="590"/>
      <c r="K169" s="433" t="s">
        <v>619</v>
      </c>
      <c r="L169" s="436"/>
      <c r="M169" s="1824">
        <f>SUM(M170:M171)</f>
        <v>527600</v>
      </c>
    </row>
    <row r="170" spans="1:13" ht="18" customHeight="1">
      <c r="A170" s="340"/>
      <c r="B170" s="344"/>
      <c r="C170" s="344"/>
      <c r="D170" s="344"/>
      <c r="E170" s="344"/>
      <c r="F170" s="344"/>
      <c r="G170" s="344"/>
      <c r="H170" s="589"/>
      <c r="I170" s="565"/>
      <c r="J170" s="590"/>
      <c r="K170" s="437" t="s">
        <v>620</v>
      </c>
      <c r="L170" s="436" t="s">
        <v>464</v>
      </c>
      <c r="M170" s="666">
        <v>512600</v>
      </c>
    </row>
    <row r="171" spans="1:13" ht="18" customHeight="1">
      <c r="A171" s="340"/>
      <c r="B171" s="344"/>
      <c r="C171" s="344"/>
      <c r="D171" s="344"/>
      <c r="E171" s="344"/>
      <c r="F171" s="344"/>
      <c r="G171" s="344"/>
      <c r="H171" s="589"/>
      <c r="I171" s="565"/>
      <c r="J171" s="590"/>
      <c r="K171" s="437" t="s">
        <v>621</v>
      </c>
      <c r="L171" s="436" t="s">
        <v>464</v>
      </c>
      <c r="M171" s="666">
        <v>15000</v>
      </c>
    </row>
    <row r="172" spans="1:13" ht="18" customHeight="1">
      <c r="A172" s="340"/>
      <c r="B172" s="344"/>
      <c r="C172" s="344"/>
      <c r="D172" s="344"/>
      <c r="E172" s="344"/>
      <c r="F172" s="344"/>
      <c r="G172" s="344"/>
      <c r="H172" s="589"/>
      <c r="I172" s="565"/>
      <c r="J172" s="590"/>
      <c r="K172" s="437" t="s">
        <v>622</v>
      </c>
      <c r="L172" s="436"/>
      <c r="M172" s="1824">
        <f>SUM(M173:M174)</f>
        <v>287000</v>
      </c>
    </row>
    <row r="173" spans="1:13" ht="18" customHeight="1">
      <c r="A173" s="340"/>
      <c r="B173" s="344"/>
      <c r="C173" s="344"/>
      <c r="D173" s="344"/>
      <c r="E173" s="344"/>
      <c r="F173" s="344"/>
      <c r="G173" s="344"/>
      <c r="H173" s="589"/>
      <c r="I173" s="565"/>
      <c r="J173" s="590"/>
      <c r="K173" s="437" t="s">
        <v>623</v>
      </c>
      <c r="L173" s="436" t="s">
        <v>464</v>
      </c>
      <c r="M173" s="666">
        <v>179000</v>
      </c>
    </row>
    <row r="174" spans="1:13" ht="18" customHeight="1">
      <c r="A174" s="340"/>
      <c r="B174" s="344"/>
      <c r="C174" s="344"/>
      <c r="D174" s="344"/>
      <c r="E174" s="344"/>
      <c r="F174" s="344"/>
      <c r="G174" s="344"/>
      <c r="H174" s="589"/>
      <c r="I174" s="565"/>
      <c r="J174" s="590"/>
      <c r="K174" s="437" t="s">
        <v>624</v>
      </c>
      <c r="L174" s="436" t="s">
        <v>464</v>
      </c>
      <c r="M174" s="666">
        <v>108000</v>
      </c>
    </row>
    <row r="175" spans="1:13" ht="18" customHeight="1">
      <c r="A175" s="340"/>
      <c r="B175" s="344"/>
      <c r="C175" s="344"/>
      <c r="D175" s="344"/>
      <c r="E175" s="344"/>
      <c r="F175" s="344"/>
      <c r="G175" s="344"/>
      <c r="H175" s="589"/>
      <c r="I175" s="565"/>
      <c r="J175" s="590"/>
      <c r="K175" s="437" t="s">
        <v>625</v>
      </c>
      <c r="L175" s="436"/>
      <c r="M175" s="1824">
        <f>SUM(M176)</f>
        <v>71700</v>
      </c>
    </row>
    <row r="176" spans="1:13" ht="18" customHeight="1">
      <c r="A176" s="340"/>
      <c r="B176" s="344"/>
      <c r="C176" s="344"/>
      <c r="D176" s="344"/>
      <c r="E176" s="344"/>
      <c r="F176" s="344"/>
      <c r="G176" s="344"/>
      <c r="H176" s="589"/>
      <c r="I176" s="565"/>
      <c r="J176" s="590"/>
      <c r="K176" s="437" t="s">
        <v>626</v>
      </c>
      <c r="L176" s="436" t="s">
        <v>464</v>
      </c>
      <c r="M176" s="666">
        <v>71700</v>
      </c>
    </row>
    <row r="177" spans="1:13" ht="18" customHeight="1">
      <c r="A177" s="340"/>
      <c r="B177" s="344"/>
      <c r="C177" s="344"/>
      <c r="D177" s="344"/>
      <c r="E177" s="344"/>
      <c r="F177" s="353"/>
      <c r="G177" s="344"/>
      <c r="H177" s="589"/>
      <c r="I177" s="565"/>
      <c r="J177" s="590"/>
      <c r="K177" s="437" t="s">
        <v>627</v>
      </c>
      <c r="L177" s="436"/>
      <c r="M177" s="1824">
        <f>SUM(M178:M179)</f>
        <v>2100</v>
      </c>
    </row>
    <row r="178" spans="1:13" ht="18" customHeight="1">
      <c r="A178" s="340"/>
      <c r="B178" s="344"/>
      <c r="C178" s="344"/>
      <c r="D178" s="344"/>
      <c r="E178" s="344"/>
      <c r="F178" s="353"/>
      <c r="G178" s="344"/>
      <c r="H178" s="589"/>
      <c r="I178" s="565"/>
      <c r="J178" s="590"/>
      <c r="K178" s="437" t="s">
        <v>628</v>
      </c>
      <c r="L178" s="436" t="s">
        <v>464</v>
      </c>
      <c r="M178" s="666">
        <v>1920</v>
      </c>
    </row>
    <row r="179" spans="1:13" ht="18" customHeight="1">
      <c r="A179" s="340"/>
      <c r="B179" s="344"/>
      <c r="C179" s="344"/>
      <c r="D179" s="344"/>
      <c r="E179" s="344"/>
      <c r="F179" s="353"/>
      <c r="G179" s="344"/>
      <c r="H179" s="589"/>
      <c r="I179" s="565"/>
      <c r="J179" s="590"/>
      <c r="K179" s="437" t="s">
        <v>629</v>
      </c>
      <c r="L179" s="436" t="s">
        <v>464</v>
      </c>
      <c r="M179" s="666">
        <v>180</v>
      </c>
    </row>
    <row r="180" spans="1:13" ht="18" customHeight="1">
      <c r="A180" s="340"/>
      <c r="B180" s="344"/>
      <c r="C180" s="344"/>
      <c r="D180" s="344"/>
      <c r="E180" s="344"/>
      <c r="F180" s="353"/>
      <c r="G180" s="344"/>
      <c r="H180" s="589"/>
      <c r="I180" s="565"/>
      <c r="J180" s="590"/>
      <c r="K180" s="437" t="s">
        <v>630</v>
      </c>
      <c r="L180" s="436" t="s">
        <v>464</v>
      </c>
      <c r="M180" s="1824">
        <v>17280</v>
      </c>
    </row>
    <row r="181" spans="1:13" ht="18" customHeight="1">
      <c r="A181" s="340"/>
      <c r="B181" s="344"/>
      <c r="C181" s="344"/>
      <c r="D181" s="344"/>
      <c r="E181" s="344"/>
      <c r="F181" s="353"/>
      <c r="G181" s="344"/>
      <c r="H181" s="589"/>
      <c r="I181" s="565"/>
      <c r="J181" s="590"/>
      <c r="K181" s="468" t="s">
        <v>631</v>
      </c>
      <c r="L181" s="469"/>
      <c r="M181" s="1824">
        <f>SUM(M182:M187)</f>
        <v>12145</v>
      </c>
    </row>
    <row r="182" spans="1:13" ht="18" customHeight="1">
      <c r="A182" s="340"/>
      <c r="B182" s="344"/>
      <c r="C182" s="344"/>
      <c r="D182" s="344"/>
      <c r="E182" s="344"/>
      <c r="F182" s="353"/>
      <c r="G182" s="344"/>
      <c r="H182" s="589"/>
      <c r="I182" s="565"/>
      <c r="J182" s="590"/>
      <c r="K182" s="437" t="s">
        <v>632</v>
      </c>
      <c r="L182" s="441" t="s">
        <v>464</v>
      </c>
      <c r="M182" s="666">
        <v>1575</v>
      </c>
    </row>
    <row r="183" spans="1:13" ht="18" customHeight="1">
      <c r="A183" s="340"/>
      <c r="B183" s="344"/>
      <c r="C183" s="344"/>
      <c r="D183" s="344"/>
      <c r="E183" s="344"/>
      <c r="F183" s="353"/>
      <c r="G183" s="344"/>
      <c r="H183" s="589"/>
      <c r="I183" s="565"/>
      <c r="J183" s="590"/>
      <c r="K183" s="437" t="s">
        <v>633</v>
      </c>
      <c r="L183" s="441" t="s">
        <v>464</v>
      </c>
      <c r="M183" s="666">
        <v>700</v>
      </c>
    </row>
    <row r="184" spans="1:13" ht="18" customHeight="1">
      <c r="A184" s="340"/>
      <c r="B184" s="344"/>
      <c r="C184" s="344"/>
      <c r="D184" s="344"/>
      <c r="E184" s="344"/>
      <c r="F184" s="353"/>
      <c r="G184" s="344"/>
      <c r="H184" s="589"/>
      <c r="I184" s="565"/>
      <c r="J184" s="590"/>
      <c r="K184" s="437" t="s">
        <v>634</v>
      </c>
      <c r="L184" s="441" t="s">
        <v>464</v>
      </c>
      <c r="M184" s="666">
        <v>90</v>
      </c>
    </row>
    <row r="185" spans="1:13" ht="18" customHeight="1">
      <c r="A185" s="340"/>
      <c r="B185" s="344"/>
      <c r="C185" s="344"/>
      <c r="D185" s="344"/>
      <c r="E185" s="344"/>
      <c r="F185" s="353"/>
      <c r="G185" s="344"/>
      <c r="H185" s="589"/>
      <c r="I185" s="565"/>
      <c r="J185" s="590"/>
      <c r="K185" s="437" t="s">
        <v>635</v>
      </c>
      <c r="L185" s="441" t="s">
        <v>464</v>
      </c>
      <c r="M185" s="666">
        <v>270</v>
      </c>
    </row>
    <row r="186" spans="1:13" ht="18" customHeight="1">
      <c r="A186" s="340"/>
      <c r="B186" s="344"/>
      <c r="C186" s="344"/>
      <c r="D186" s="344"/>
      <c r="E186" s="344"/>
      <c r="F186" s="353"/>
      <c r="G186" s="344"/>
      <c r="H186" s="589"/>
      <c r="I186" s="565"/>
      <c r="J186" s="590"/>
      <c r="K186" s="437" t="s">
        <v>636</v>
      </c>
      <c r="L186" s="441" t="s">
        <v>464</v>
      </c>
      <c r="M186" s="666">
        <v>1500</v>
      </c>
    </row>
    <row r="187" spans="1:13" ht="18" customHeight="1">
      <c r="A187" s="340"/>
      <c r="B187" s="344"/>
      <c r="C187" s="344"/>
      <c r="D187" s="344"/>
      <c r="E187" s="344"/>
      <c r="F187" s="353"/>
      <c r="G187" s="344"/>
      <c r="H187" s="589"/>
      <c r="I187" s="565"/>
      <c r="J187" s="590"/>
      <c r="K187" s="437" t="s">
        <v>637</v>
      </c>
      <c r="L187" s="441" t="s">
        <v>464</v>
      </c>
      <c r="M187" s="666">
        <v>8010</v>
      </c>
    </row>
    <row r="188" spans="1:13" ht="18" customHeight="1">
      <c r="A188" s="340"/>
      <c r="B188" s="344"/>
      <c r="C188" s="344"/>
      <c r="D188" s="344"/>
      <c r="E188" s="344"/>
      <c r="F188" s="353"/>
      <c r="G188" s="344"/>
      <c r="H188" s="589"/>
      <c r="I188" s="565"/>
      <c r="J188" s="590"/>
      <c r="K188" s="437" t="s">
        <v>638</v>
      </c>
      <c r="L188" s="389"/>
      <c r="M188" s="1824">
        <f>SUM(M189:M191)</f>
        <v>10555</v>
      </c>
    </row>
    <row r="189" spans="1:13" ht="18" customHeight="1">
      <c r="A189" s="340"/>
      <c r="B189" s="344"/>
      <c r="C189" s="344"/>
      <c r="D189" s="344"/>
      <c r="E189" s="344"/>
      <c r="F189" s="353"/>
      <c r="G189" s="344"/>
      <c r="H189" s="589"/>
      <c r="I189" s="565"/>
      <c r="J189" s="590"/>
      <c r="K189" s="437" t="s">
        <v>639</v>
      </c>
      <c r="L189" s="441" t="s">
        <v>464</v>
      </c>
      <c r="M189" s="666">
        <v>500</v>
      </c>
    </row>
    <row r="190" spans="1:13" ht="18" customHeight="1">
      <c r="A190" s="340"/>
      <c r="B190" s="344"/>
      <c r="C190" s="344"/>
      <c r="D190" s="344"/>
      <c r="E190" s="344"/>
      <c r="F190" s="353"/>
      <c r="G190" s="344"/>
      <c r="H190" s="589"/>
      <c r="I190" s="565"/>
      <c r="J190" s="590"/>
      <c r="K190" s="437" t="s">
        <v>640</v>
      </c>
      <c r="L190" s="441" t="s">
        <v>464</v>
      </c>
      <c r="M190" s="666">
        <v>9555</v>
      </c>
    </row>
    <row r="191" spans="1:13" ht="18" customHeight="1">
      <c r="A191" s="340"/>
      <c r="B191" s="344"/>
      <c r="C191" s="344"/>
      <c r="D191" s="344"/>
      <c r="E191" s="344"/>
      <c r="F191" s="353"/>
      <c r="G191" s="344"/>
      <c r="H191" s="589"/>
      <c r="I191" s="565"/>
      <c r="J191" s="590"/>
      <c r="K191" s="437" t="s">
        <v>641</v>
      </c>
      <c r="L191" s="441" t="s">
        <v>464</v>
      </c>
      <c r="M191" s="666">
        <v>500</v>
      </c>
    </row>
    <row r="192" spans="1:13" ht="18" customHeight="1">
      <c r="A192" s="340"/>
      <c r="B192" s="344"/>
      <c r="C192" s="344"/>
      <c r="D192" s="344"/>
      <c r="E192" s="344"/>
      <c r="F192" s="353"/>
      <c r="G192" s="344"/>
      <c r="H192" s="589"/>
      <c r="I192" s="565"/>
      <c r="J192" s="590"/>
      <c r="K192" s="437" t="s">
        <v>642</v>
      </c>
      <c r="L192" s="441"/>
      <c r="M192" s="1824">
        <f>SUM(M193:M194)</f>
        <v>1125</v>
      </c>
    </row>
    <row r="193" spans="1:13" ht="18" customHeight="1">
      <c r="A193" s="340"/>
      <c r="B193" s="344"/>
      <c r="C193" s="344"/>
      <c r="D193" s="344"/>
      <c r="E193" s="344"/>
      <c r="F193" s="353"/>
      <c r="G193" s="344"/>
      <c r="H193" s="589"/>
      <c r="I193" s="565"/>
      <c r="J193" s="590"/>
      <c r="K193" s="437" t="s">
        <v>643</v>
      </c>
      <c r="L193" s="441" t="s">
        <v>464</v>
      </c>
      <c r="M193" s="666">
        <v>1000</v>
      </c>
    </row>
    <row r="194" spans="1:13" ht="18" customHeight="1">
      <c r="A194" s="340"/>
      <c r="B194" s="344"/>
      <c r="C194" s="344"/>
      <c r="D194" s="344"/>
      <c r="E194" s="344"/>
      <c r="F194" s="353"/>
      <c r="G194" s="344"/>
      <c r="H194" s="589"/>
      <c r="I194" s="565"/>
      <c r="J194" s="590"/>
      <c r="K194" s="437" t="s">
        <v>644</v>
      </c>
      <c r="L194" s="441" t="s">
        <v>464</v>
      </c>
      <c r="M194" s="666">
        <v>125</v>
      </c>
    </row>
    <row r="195" spans="1:13" ht="18" customHeight="1">
      <c r="A195" s="340"/>
      <c r="B195" s="344"/>
      <c r="C195" s="344"/>
      <c r="D195" s="344"/>
      <c r="E195" s="344"/>
      <c r="F195" s="353"/>
      <c r="G195" s="344"/>
      <c r="H195" s="589"/>
      <c r="I195" s="565"/>
      <c r="J195" s="590"/>
      <c r="K195" s="468" t="s">
        <v>645</v>
      </c>
      <c r="L195" s="441"/>
      <c r="M195" s="1824">
        <f>SUM(M196)</f>
        <v>300</v>
      </c>
    </row>
    <row r="196" spans="1:13" ht="18" customHeight="1">
      <c r="A196" s="340"/>
      <c r="B196" s="344"/>
      <c r="C196" s="344"/>
      <c r="D196" s="344"/>
      <c r="E196" s="344"/>
      <c r="F196" s="353"/>
      <c r="G196" s="344"/>
      <c r="H196" s="592"/>
      <c r="I196" s="565"/>
      <c r="J196" s="595"/>
      <c r="K196" s="437" t="s">
        <v>646</v>
      </c>
      <c r="L196" s="441" t="s">
        <v>464</v>
      </c>
      <c r="M196" s="1078">
        <v>300</v>
      </c>
    </row>
    <row r="197" spans="1:13" ht="18" customHeight="1">
      <c r="A197" s="340"/>
      <c r="B197" s="344"/>
      <c r="C197" s="344"/>
      <c r="D197" s="344"/>
      <c r="E197" s="344"/>
      <c r="F197" s="350"/>
      <c r="G197" s="346" t="s">
        <v>1005</v>
      </c>
      <c r="H197" s="589">
        <f>M197</f>
        <v>35462</v>
      </c>
      <c r="I197" s="570">
        <v>59403</v>
      </c>
      <c r="J197" s="590">
        <f>H197-I197</f>
        <v>-23941</v>
      </c>
      <c r="K197" s="456" t="s">
        <v>647</v>
      </c>
      <c r="L197" s="458"/>
      <c r="M197" s="1824">
        <f>SUM(M198:M206)</f>
        <v>35462</v>
      </c>
    </row>
    <row r="198" spans="1:13" ht="18" customHeight="1">
      <c r="A198" s="340"/>
      <c r="B198" s="344"/>
      <c r="C198" s="344"/>
      <c r="D198" s="344"/>
      <c r="E198" s="344"/>
      <c r="F198" s="350"/>
      <c r="G198" s="344"/>
      <c r="H198" s="589"/>
      <c r="I198" s="565"/>
      <c r="J198" s="590"/>
      <c r="K198" s="437" t="s">
        <v>648</v>
      </c>
      <c r="L198" s="436" t="s">
        <v>464</v>
      </c>
      <c r="M198" s="666">
        <v>12000</v>
      </c>
    </row>
    <row r="199" spans="1:13" ht="18" customHeight="1">
      <c r="A199" s="340"/>
      <c r="B199" s="344"/>
      <c r="C199" s="344"/>
      <c r="D199" s="344"/>
      <c r="E199" s="344"/>
      <c r="F199" s="350"/>
      <c r="G199" s="344"/>
      <c r="H199" s="589"/>
      <c r="I199" s="565"/>
      <c r="J199" s="590"/>
      <c r="K199" s="437" t="s">
        <v>649</v>
      </c>
      <c r="L199" s="436" t="s">
        <v>464</v>
      </c>
      <c r="M199" s="666">
        <v>1800</v>
      </c>
    </row>
    <row r="200" spans="1:13" ht="18" customHeight="1">
      <c r="A200" s="340"/>
      <c r="B200" s="344"/>
      <c r="C200" s="344"/>
      <c r="D200" s="344"/>
      <c r="E200" s="344"/>
      <c r="F200" s="350"/>
      <c r="G200" s="344"/>
      <c r="H200" s="589"/>
      <c r="I200" s="565"/>
      <c r="J200" s="590"/>
      <c r="K200" s="437" t="s">
        <v>650</v>
      </c>
      <c r="L200" s="436" t="s">
        <v>464</v>
      </c>
      <c r="M200" s="666">
        <v>12540</v>
      </c>
    </row>
    <row r="201" spans="1:13" ht="18" customHeight="1">
      <c r="A201" s="340"/>
      <c r="B201" s="344"/>
      <c r="C201" s="344"/>
      <c r="D201" s="344"/>
      <c r="E201" s="344"/>
      <c r="F201" s="350"/>
      <c r="G201" s="344"/>
      <c r="H201" s="589"/>
      <c r="I201" s="565"/>
      <c r="J201" s="590"/>
      <c r="K201" s="437" t="s">
        <v>651</v>
      </c>
      <c r="L201" s="436" t="s">
        <v>464</v>
      </c>
      <c r="M201" s="666">
        <v>1800</v>
      </c>
    </row>
    <row r="202" spans="1:13" ht="18" customHeight="1">
      <c r="A202" s="340"/>
      <c r="B202" s="344"/>
      <c r="C202" s="344"/>
      <c r="D202" s="344"/>
      <c r="E202" s="344"/>
      <c r="F202" s="350"/>
      <c r="G202" s="344"/>
      <c r="H202" s="589"/>
      <c r="I202" s="565"/>
      <c r="J202" s="590"/>
      <c r="K202" s="437" t="s">
        <v>652</v>
      </c>
      <c r="L202" s="436" t="s">
        <v>464</v>
      </c>
      <c r="M202" s="666">
        <v>2516</v>
      </c>
    </row>
    <row r="203" spans="1:13" ht="18" customHeight="1">
      <c r="A203" s="340"/>
      <c r="B203" s="344"/>
      <c r="C203" s="344"/>
      <c r="D203" s="344"/>
      <c r="E203" s="344"/>
      <c r="F203" s="350"/>
      <c r="G203" s="344"/>
      <c r="H203" s="589"/>
      <c r="I203" s="565"/>
      <c r="J203" s="590"/>
      <c r="K203" s="437" t="s">
        <v>653</v>
      </c>
      <c r="L203" s="436" t="s">
        <v>464</v>
      </c>
      <c r="M203" s="666">
        <v>250</v>
      </c>
    </row>
    <row r="204" spans="1:13" ht="18" customHeight="1">
      <c r="A204" s="340"/>
      <c r="B204" s="344"/>
      <c r="C204" s="344"/>
      <c r="D204" s="344"/>
      <c r="E204" s="344"/>
      <c r="F204" s="350"/>
      <c r="G204" s="344"/>
      <c r="H204" s="589"/>
      <c r="I204" s="565"/>
      <c r="J204" s="590"/>
      <c r="K204" s="437" t="s">
        <v>654</v>
      </c>
      <c r="L204" s="436" t="s">
        <v>464</v>
      </c>
      <c r="M204" s="666">
        <v>600</v>
      </c>
    </row>
    <row r="205" spans="1:13" ht="18" customHeight="1">
      <c r="A205" s="340"/>
      <c r="B205" s="344"/>
      <c r="C205" s="344"/>
      <c r="D205" s="344"/>
      <c r="E205" s="344"/>
      <c r="F205" s="350"/>
      <c r="G205" s="344"/>
      <c r="H205" s="589"/>
      <c r="I205" s="565"/>
      <c r="J205" s="590"/>
      <c r="K205" s="437" t="s">
        <v>655</v>
      </c>
      <c r="L205" s="436" t="s">
        <v>464</v>
      </c>
      <c r="M205" s="666">
        <v>3776</v>
      </c>
    </row>
    <row r="206" spans="1:13" ht="18" customHeight="1">
      <c r="A206" s="340"/>
      <c r="B206" s="344"/>
      <c r="C206" s="344"/>
      <c r="D206" s="344"/>
      <c r="E206" s="344"/>
      <c r="F206" s="344"/>
      <c r="G206" s="344"/>
      <c r="H206" s="592"/>
      <c r="I206" s="565"/>
      <c r="J206" s="595"/>
      <c r="K206" s="437" t="s">
        <v>656</v>
      </c>
      <c r="L206" s="436" t="s">
        <v>464</v>
      </c>
      <c r="M206" s="666">
        <v>180</v>
      </c>
    </row>
    <row r="207" spans="1:13" ht="18" customHeight="1">
      <c r="A207" s="340"/>
      <c r="B207" s="344"/>
      <c r="C207" s="344"/>
      <c r="D207" s="344"/>
      <c r="E207" s="344"/>
      <c r="F207" s="350"/>
      <c r="G207" s="346" t="s">
        <v>2261</v>
      </c>
      <c r="H207" s="589">
        <f>M207</f>
        <v>4320</v>
      </c>
      <c r="I207" s="570">
        <v>4880</v>
      </c>
      <c r="J207" s="590">
        <f>H207-I207</f>
        <v>-560</v>
      </c>
      <c r="K207" s="456" t="s">
        <v>657</v>
      </c>
      <c r="L207" s="458"/>
      <c r="M207" s="1827">
        <f>SUM(M208:M209)</f>
        <v>4320</v>
      </c>
    </row>
    <row r="208" spans="1:13" ht="18" customHeight="1">
      <c r="A208" s="340"/>
      <c r="B208" s="344"/>
      <c r="C208" s="344"/>
      <c r="D208" s="344"/>
      <c r="E208" s="344"/>
      <c r="F208" s="350"/>
      <c r="G208" s="344"/>
      <c r="H208" s="589"/>
      <c r="I208" s="565"/>
      <c r="J208" s="590"/>
      <c r="K208" s="437" t="s">
        <v>658</v>
      </c>
      <c r="L208" s="441" t="s">
        <v>464</v>
      </c>
      <c r="M208" s="666">
        <v>2400</v>
      </c>
    </row>
    <row r="209" spans="1:13" ht="18" customHeight="1">
      <c r="A209" s="340"/>
      <c r="B209" s="344"/>
      <c r="C209" s="344"/>
      <c r="D209" s="344"/>
      <c r="E209" s="344"/>
      <c r="F209" s="344"/>
      <c r="G209" s="344"/>
      <c r="H209" s="592"/>
      <c r="I209" s="565"/>
      <c r="J209" s="595"/>
      <c r="K209" s="437" t="s">
        <v>659</v>
      </c>
      <c r="L209" s="441" t="s">
        <v>464</v>
      </c>
      <c r="M209" s="666">
        <v>1920</v>
      </c>
    </row>
    <row r="210" spans="1:13" ht="18" customHeight="1">
      <c r="A210" s="340"/>
      <c r="B210" s="344"/>
      <c r="C210" s="344"/>
      <c r="D210" s="344"/>
      <c r="E210" s="344"/>
      <c r="F210" s="2356" t="s">
        <v>412</v>
      </c>
      <c r="G210" s="2356"/>
      <c r="H210" s="592">
        <f>H211+H214</f>
        <v>40800</v>
      </c>
      <c r="I210" s="571">
        <v>39600</v>
      </c>
      <c r="J210" s="595">
        <f>H210-I210</f>
        <v>1200</v>
      </c>
      <c r="K210" s="470"/>
      <c r="L210" s="471"/>
      <c r="M210" s="668"/>
    </row>
    <row r="211" spans="1:13" ht="18" customHeight="1">
      <c r="A211" s="340"/>
      <c r="B211" s="344"/>
      <c r="C211" s="344"/>
      <c r="D211" s="344"/>
      <c r="E211" s="344"/>
      <c r="F211" s="350"/>
      <c r="G211" s="344" t="s">
        <v>413</v>
      </c>
      <c r="H211" s="589">
        <f>M211</f>
        <v>25800</v>
      </c>
      <c r="I211" s="565">
        <v>24600</v>
      </c>
      <c r="J211" s="590">
        <f>H211-I211</f>
        <v>1200</v>
      </c>
      <c r="K211" s="472" t="s">
        <v>660</v>
      </c>
      <c r="L211" s="473"/>
      <c r="M211" s="1824">
        <f>SUM(M212:M213)</f>
        <v>25800</v>
      </c>
    </row>
    <row r="212" spans="1:13" ht="18" customHeight="1">
      <c r="A212" s="340"/>
      <c r="B212" s="344"/>
      <c r="C212" s="344"/>
      <c r="D212" s="344"/>
      <c r="E212" s="344"/>
      <c r="F212" s="344"/>
      <c r="G212" s="344"/>
      <c r="H212" s="589"/>
      <c r="I212" s="565"/>
      <c r="J212" s="590"/>
      <c r="K212" s="437" t="s">
        <v>661</v>
      </c>
      <c r="L212" s="441" t="s">
        <v>464</v>
      </c>
      <c r="M212" s="666">
        <v>19200</v>
      </c>
    </row>
    <row r="213" spans="1:13" ht="18" customHeight="1">
      <c r="A213" s="340"/>
      <c r="B213" s="344"/>
      <c r="C213" s="344"/>
      <c r="D213" s="344"/>
      <c r="E213" s="344"/>
      <c r="F213" s="344"/>
      <c r="G213" s="344"/>
      <c r="H213" s="589"/>
      <c r="I213" s="565"/>
      <c r="J213" s="590"/>
      <c r="K213" s="680" t="s">
        <v>662</v>
      </c>
      <c r="L213" s="441" t="s">
        <v>464</v>
      </c>
      <c r="M213" s="1078">
        <v>6600</v>
      </c>
    </row>
    <row r="214" spans="1:13" ht="18" customHeight="1">
      <c r="A214" s="340"/>
      <c r="B214" s="344"/>
      <c r="C214" s="344"/>
      <c r="D214" s="344"/>
      <c r="E214" s="344"/>
      <c r="F214" s="344"/>
      <c r="G214" s="346" t="s">
        <v>414</v>
      </c>
      <c r="H214" s="593">
        <f>M214</f>
        <v>15000</v>
      </c>
      <c r="I214" s="570">
        <v>15000</v>
      </c>
      <c r="J214" s="594">
        <f>H214-I214</f>
        <v>0</v>
      </c>
      <c r="K214" s="472" t="s">
        <v>976</v>
      </c>
      <c r="L214" s="455"/>
      <c r="M214" s="1824">
        <f>M215</f>
        <v>15000</v>
      </c>
    </row>
    <row r="215" spans="1:13" ht="18" customHeight="1">
      <c r="A215" s="357"/>
      <c r="B215" s="358"/>
      <c r="C215" s="358"/>
      <c r="D215" s="358"/>
      <c r="E215" s="358"/>
      <c r="F215" s="358"/>
      <c r="G215" s="359"/>
      <c r="H215" s="596"/>
      <c r="I215" s="564"/>
      <c r="J215" s="595"/>
      <c r="K215" s="582" t="s">
        <v>663</v>
      </c>
      <c r="L215" s="476" t="s">
        <v>464</v>
      </c>
      <c r="M215" s="1078">
        <v>15000</v>
      </c>
    </row>
    <row r="216" spans="1:13" ht="18" customHeight="1">
      <c r="A216" s="340"/>
      <c r="B216" s="344"/>
      <c r="C216" s="344"/>
      <c r="D216" s="344"/>
      <c r="E216" s="344"/>
      <c r="F216" s="2356" t="s">
        <v>415</v>
      </c>
      <c r="G216" s="2356"/>
      <c r="H216" s="592">
        <f>H217</f>
        <v>21600</v>
      </c>
      <c r="I216" s="571">
        <v>20000</v>
      </c>
      <c r="J216" s="595">
        <f>H216-I216</f>
        <v>1600</v>
      </c>
      <c r="K216" s="477"/>
      <c r="L216" s="478"/>
      <c r="M216" s="668"/>
    </row>
    <row r="217" spans="1:13" ht="18" customHeight="1">
      <c r="A217" s="340"/>
      <c r="B217" s="344"/>
      <c r="C217" s="344"/>
      <c r="D217" s="344"/>
      <c r="E217" s="344"/>
      <c r="F217" s="2049"/>
      <c r="G217" s="344" t="s">
        <v>416</v>
      </c>
      <c r="H217" s="589">
        <f>M217</f>
        <v>21600</v>
      </c>
      <c r="I217" s="565">
        <v>20000</v>
      </c>
      <c r="J217" s="590">
        <f>H217-I217</f>
        <v>1600</v>
      </c>
      <c r="K217" s="437" t="s">
        <v>664</v>
      </c>
      <c r="L217" s="461" t="s">
        <v>464</v>
      </c>
      <c r="M217" s="1824">
        <v>21600</v>
      </c>
    </row>
    <row r="218" spans="1:13" ht="18" customHeight="1">
      <c r="A218" s="340"/>
      <c r="B218" s="344"/>
      <c r="C218" s="344"/>
      <c r="D218" s="344"/>
      <c r="E218" s="344"/>
      <c r="F218" s="350"/>
      <c r="G218" s="344"/>
      <c r="H218" s="589"/>
      <c r="I218" s="565"/>
      <c r="J218" s="590"/>
      <c r="K218" s="443" t="s">
        <v>665</v>
      </c>
      <c r="L218" s="443"/>
      <c r="M218" s="666"/>
    </row>
    <row r="219" spans="1:13" ht="18" customHeight="1">
      <c r="A219" s="340"/>
      <c r="B219" s="344"/>
      <c r="C219" s="344"/>
      <c r="D219" s="344"/>
      <c r="E219" s="344"/>
      <c r="F219" s="350"/>
      <c r="G219" s="344"/>
      <c r="H219" s="592"/>
      <c r="I219" s="565"/>
      <c r="J219" s="595"/>
      <c r="K219" s="443" t="s">
        <v>666</v>
      </c>
      <c r="L219" s="443"/>
      <c r="M219" s="666"/>
    </row>
    <row r="220" spans="1:13" ht="18" customHeight="1">
      <c r="A220" s="340"/>
      <c r="B220" s="344"/>
      <c r="C220" s="344"/>
      <c r="D220" s="344"/>
      <c r="E220" s="344"/>
      <c r="F220" s="2356" t="s">
        <v>417</v>
      </c>
      <c r="G220" s="2356"/>
      <c r="H220" s="592">
        <f>H221</f>
        <v>180266</v>
      </c>
      <c r="I220" s="571">
        <v>170112</v>
      </c>
      <c r="J220" s="595">
        <f>H220-I220</f>
        <v>10154</v>
      </c>
      <c r="K220" s="477"/>
      <c r="L220" s="478"/>
      <c r="M220" s="668"/>
    </row>
    <row r="221" spans="1:13" ht="18" customHeight="1">
      <c r="A221" s="340"/>
      <c r="B221" s="344"/>
      <c r="C221" s="344"/>
      <c r="D221" s="344"/>
      <c r="E221" s="344"/>
      <c r="F221" s="350"/>
      <c r="G221" s="344" t="s">
        <v>418</v>
      </c>
      <c r="H221" s="589">
        <f>M221</f>
        <v>180266</v>
      </c>
      <c r="I221" s="565">
        <v>170112</v>
      </c>
      <c r="J221" s="590">
        <f>H221-I221</f>
        <v>10154</v>
      </c>
      <c r="K221" s="444" t="s">
        <v>667</v>
      </c>
      <c r="L221" s="461"/>
      <c r="M221" s="1824">
        <f>SUM(M222:M226)</f>
        <v>180266</v>
      </c>
    </row>
    <row r="222" spans="1:13" ht="18" customHeight="1">
      <c r="A222" s="340"/>
      <c r="B222" s="344"/>
      <c r="C222" s="344"/>
      <c r="D222" s="344"/>
      <c r="E222" s="344"/>
      <c r="F222" s="344"/>
      <c r="G222" s="344"/>
      <c r="H222" s="589"/>
      <c r="I222" s="565"/>
      <c r="J222" s="590"/>
      <c r="K222" s="433" t="s">
        <v>668</v>
      </c>
      <c r="L222" s="466" t="s">
        <v>464</v>
      </c>
      <c r="M222" s="1824">
        <v>2000</v>
      </c>
    </row>
    <row r="223" spans="1:13" ht="18" customHeight="1">
      <c r="A223" s="340"/>
      <c r="B223" s="344"/>
      <c r="C223" s="344"/>
      <c r="D223" s="344"/>
      <c r="E223" s="344"/>
      <c r="F223" s="344"/>
      <c r="G223" s="344"/>
      <c r="H223" s="589"/>
      <c r="I223" s="565"/>
      <c r="J223" s="590"/>
      <c r="K223" s="433" t="s">
        <v>669</v>
      </c>
      <c r="L223" s="466" t="s">
        <v>464</v>
      </c>
      <c r="M223" s="1824">
        <v>500</v>
      </c>
    </row>
    <row r="224" spans="1:13" ht="18" customHeight="1">
      <c r="A224" s="340"/>
      <c r="B224" s="344"/>
      <c r="C224" s="344"/>
      <c r="D224" s="344"/>
      <c r="E224" s="344"/>
      <c r="F224" s="344"/>
      <c r="G224" s="344"/>
      <c r="H224" s="589"/>
      <c r="I224" s="565"/>
      <c r="J224" s="590"/>
      <c r="K224" s="433" t="s">
        <v>670</v>
      </c>
      <c r="L224" s="466" t="s">
        <v>464</v>
      </c>
      <c r="M224" s="1824">
        <v>600</v>
      </c>
    </row>
    <row r="225" spans="1:13" ht="18" customHeight="1">
      <c r="A225" s="340"/>
      <c r="B225" s="344"/>
      <c r="C225" s="344"/>
      <c r="D225" s="344"/>
      <c r="E225" s="344"/>
      <c r="F225" s="344"/>
      <c r="G225" s="344"/>
      <c r="H225" s="589"/>
      <c r="I225" s="565"/>
      <c r="J225" s="590"/>
      <c r="K225" s="433" t="s">
        <v>671</v>
      </c>
      <c r="L225" s="466" t="s">
        <v>464</v>
      </c>
      <c r="M225" s="1824">
        <v>250</v>
      </c>
    </row>
    <row r="226" spans="1:13" ht="18" customHeight="1">
      <c r="A226" s="340"/>
      <c r="B226" s="344"/>
      <c r="C226" s="344"/>
      <c r="D226" s="344"/>
      <c r="E226" s="344"/>
      <c r="F226" s="344"/>
      <c r="G226" s="344"/>
      <c r="H226" s="589"/>
      <c r="I226" s="565"/>
      <c r="J226" s="590"/>
      <c r="K226" s="433" t="s">
        <v>672</v>
      </c>
      <c r="L226" s="466"/>
      <c r="M226" s="1824">
        <f>SUM(M227:M241)</f>
        <v>176916</v>
      </c>
    </row>
    <row r="227" spans="1:13" ht="18" customHeight="1">
      <c r="A227" s="340"/>
      <c r="B227" s="344"/>
      <c r="C227" s="344"/>
      <c r="D227" s="344"/>
      <c r="E227" s="344"/>
      <c r="F227" s="344"/>
      <c r="G227" s="344"/>
      <c r="H227" s="589"/>
      <c r="I227" s="565"/>
      <c r="J227" s="590"/>
      <c r="K227" s="433" t="s">
        <v>673</v>
      </c>
      <c r="L227" s="466" t="s">
        <v>464</v>
      </c>
      <c r="M227" s="666">
        <v>52800</v>
      </c>
    </row>
    <row r="228" spans="1:13" ht="18" customHeight="1">
      <c r="A228" s="340"/>
      <c r="B228" s="344"/>
      <c r="C228" s="344"/>
      <c r="D228" s="344"/>
      <c r="E228" s="344"/>
      <c r="F228" s="344"/>
      <c r="G228" s="344"/>
      <c r="H228" s="589"/>
      <c r="I228" s="565"/>
      <c r="J228" s="590"/>
      <c r="K228" s="433" t="s">
        <v>674</v>
      </c>
      <c r="L228" s="466" t="s">
        <v>464</v>
      </c>
      <c r="M228" s="666">
        <v>15960</v>
      </c>
    </row>
    <row r="229" spans="1:13" ht="18" customHeight="1">
      <c r="A229" s="340"/>
      <c r="B229" s="344"/>
      <c r="C229" s="344"/>
      <c r="D229" s="344"/>
      <c r="E229" s="344"/>
      <c r="F229" s="344"/>
      <c r="G229" s="344"/>
      <c r="H229" s="589"/>
      <c r="I229" s="565"/>
      <c r="J229" s="590"/>
      <c r="K229" s="437" t="s">
        <v>675</v>
      </c>
      <c r="L229" s="466" t="s">
        <v>464</v>
      </c>
      <c r="M229" s="666">
        <v>5400</v>
      </c>
    </row>
    <row r="230" spans="1:13" ht="18" customHeight="1">
      <c r="A230" s="340"/>
      <c r="B230" s="344"/>
      <c r="C230" s="344"/>
      <c r="D230" s="344"/>
      <c r="E230" s="344"/>
      <c r="F230" s="344"/>
      <c r="G230" s="344"/>
      <c r="H230" s="589"/>
      <c r="I230" s="565"/>
      <c r="J230" s="590"/>
      <c r="K230" s="437" t="s">
        <v>676</v>
      </c>
      <c r="L230" s="466" t="s">
        <v>464</v>
      </c>
      <c r="M230" s="666">
        <v>6600</v>
      </c>
    </row>
    <row r="231" spans="1:13" ht="18" customHeight="1">
      <c r="A231" s="340"/>
      <c r="B231" s="344"/>
      <c r="C231" s="344"/>
      <c r="D231" s="344"/>
      <c r="E231" s="344"/>
      <c r="F231" s="344"/>
      <c r="G231" s="344"/>
      <c r="H231" s="589"/>
      <c r="I231" s="565"/>
      <c r="J231" s="590"/>
      <c r="K231" s="437" t="s">
        <v>677</v>
      </c>
      <c r="L231" s="466" t="s">
        <v>464</v>
      </c>
      <c r="M231" s="666">
        <v>6600</v>
      </c>
    </row>
    <row r="232" spans="1:13" ht="18" customHeight="1">
      <c r="A232" s="340"/>
      <c r="B232" s="344"/>
      <c r="C232" s="344"/>
      <c r="D232" s="344"/>
      <c r="E232" s="344"/>
      <c r="F232" s="344"/>
      <c r="G232" s="344"/>
      <c r="H232" s="589"/>
      <c r="I232" s="565"/>
      <c r="J232" s="590"/>
      <c r="K232" s="437" t="s">
        <v>678</v>
      </c>
      <c r="L232" s="466" t="s">
        <v>464</v>
      </c>
      <c r="M232" s="666">
        <v>1672</v>
      </c>
    </row>
    <row r="233" spans="1:13" ht="18" customHeight="1">
      <c r="A233" s="340"/>
      <c r="B233" s="344"/>
      <c r="C233" s="344"/>
      <c r="D233" s="344"/>
      <c r="E233" s="344"/>
      <c r="F233" s="344"/>
      <c r="G233" s="344"/>
      <c r="H233" s="589"/>
      <c r="I233" s="565"/>
      <c r="J233" s="590"/>
      <c r="K233" s="437" t="s">
        <v>679</v>
      </c>
      <c r="L233" s="466" t="s">
        <v>464</v>
      </c>
      <c r="M233" s="666">
        <v>4800</v>
      </c>
    </row>
    <row r="234" spans="1:13" ht="18" customHeight="1">
      <c r="A234" s="340"/>
      <c r="B234" s="344"/>
      <c r="C234" s="344"/>
      <c r="D234" s="344"/>
      <c r="E234" s="344"/>
      <c r="F234" s="344"/>
      <c r="G234" s="344"/>
      <c r="H234" s="589"/>
      <c r="I234" s="565"/>
      <c r="J234" s="590"/>
      <c r="K234" s="437" t="s">
        <v>680</v>
      </c>
      <c r="L234" s="466" t="s">
        <v>464</v>
      </c>
      <c r="M234" s="666">
        <v>2800</v>
      </c>
    </row>
    <row r="235" spans="1:13" ht="18" customHeight="1">
      <c r="A235" s="340"/>
      <c r="B235" s="344"/>
      <c r="C235" s="344"/>
      <c r="D235" s="344"/>
      <c r="E235" s="344"/>
      <c r="F235" s="344"/>
      <c r="G235" s="344"/>
      <c r="H235" s="589"/>
      <c r="I235" s="565"/>
      <c r="J235" s="590"/>
      <c r="K235" s="437" t="s">
        <v>681</v>
      </c>
      <c r="L235" s="466" t="s">
        <v>464</v>
      </c>
      <c r="M235" s="666">
        <v>1840</v>
      </c>
    </row>
    <row r="236" spans="1:13" ht="18" customHeight="1">
      <c r="A236" s="340"/>
      <c r="B236" s="344"/>
      <c r="C236" s="344"/>
      <c r="D236" s="344"/>
      <c r="E236" s="344"/>
      <c r="F236" s="350"/>
      <c r="G236" s="344"/>
      <c r="H236" s="589"/>
      <c r="I236" s="565"/>
      <c r="J236" s="590"/>
      <c r="K236" s="437" t="s">
        <v>682</v>
      </c>
      <c r="L236" s="434" t="s">
        <v>464</v>
      </c>
      <c r="M236" s="666">
        <v>1520</v>
      </c>
    </row>
    <row r="237" spans="1:13" ht="18" customHeight="1">
      <c r="A237" s="340"/>
      <c r="B237" s="344"/>
      <c r="C237" s="344"/>
      <c r="D237" s="344"/>
      <c r="E237" s="344"/>
      <c r="F237" s="344"/>
      <c r="G237" s="344"/>
      <c r="H237" s="589"/>
      <c r="I237" s="565"/>
      <c r="J237" s="590"/>
      <c r="K237" s="437" t="s">
        <v>683</v>
      </c>
      <c r="L237" s="436" t="s">
        <v>464</v>
      </c>
      <c r="M237" s="666">
        <v>36000</v>
      </c>
    </row>
    <row r="238" spans="1:13" ht="18" customHeight="1">
      <c r="A238" s="340"/>
      <c r="B238" s="344"/>
      <c r="C238" s="344"/>
      <c r="D238" s="344"/>
      <c r="E238" s="344"/>
      <c r="F238" s="344"/>
      <c r="G238" s="344"/>
      <c r="H238" s="589"/>
      <c r="I238" s="565"/>
      <c r="J238" s="590"/>
      <c r="K238" s="479" t="s">
        <v>684</v>
      </c>
      <c r="L238" s="436" t="s">
        <v>464</v>
      </c>
      <c r="M238" s="666">
        <v>12000</v>
      </c>
    </row>
    <row r="239" spans="1:13" ht="18" customHeight="1">
      <c r="A239" s="340"/>
      <c r="B239" s="344"/>
      <c r="C239" s="344"/>
      <c r="D239" s="344"/>
      <c r="E239" s="344"/>
      <c r="F239" s="344"/>
      <c r="G239" s="344"/>
      <c r="H239" s="589"/>
      <c r="I239" s="565"/>
      <c r="J239" s="590"/>
      <c r="K239" s="479" t="s">
        <v>685</v>
      </c>
      <c r="L239" s="436" t="s">
        <v>464</v>
      </c>
      <c r="M239" s="666">
        <v>13464</v>
      </c>
    </row>
    <row r="240" spans="1:13" ht="18" customHeight="1">
      <c r="A240" s="340"/>
      <c r="B240" s="344"/>
      <c r="C240" s="344"/>
      <c r="D240" s="344"/>
      <c r="E240" s="344"/>
      <c r="F240" s="344"/>
      <c r="G240" s="344"/>
      <c r="H240" s="589"/>
      <c r="I240" s="565"/>
      <c r="J240" s="590"/>
      <c r="K240" s="479" t="s">
        <v>686</v>
      </c>
      <c r="L240" s="436" t="s">
        <v>464</v>
      </c>
      <c r="M240" s="666">
        <v>4900</v>
      </c>
    </row>
    <row r="241" spans="1:23" ht="18" customHeight="1">
      <c r="A241" s="340"/>
      <c r="B241" s="344"/>
      <c r="C241" s="344"/>
      <c r="D241" s="344"/>
      <c r="E241" s="344"/>
      <c r="F241" s="344"/>
      <c r="G241" s="344"/>
      <c r="H241" s="592"/>
      <c r="I241" s="565"/>
      <c r="J241" s="595"/>
      <c r="K241" s="479" t="s">
        <v>687</v>
      </c>
      <c r="L241" s="436" t="s">
        <v>464</v>
      </c>
      <c r="M241" s="666">
        <v>10560</v>
      </c>
    </row>
    <row r="242" spans="1:23" ht="18" customHeight="1">
      <c r="A242" s="340"/>
      <c r="B242" s="344"/>
      <c r="C242" s="344"/>
      <c r="D242" s="344"/>
      <c r="E242" s="344"/>
      <c r="F242" s="2356" t="s">
        <v>419</v>
      </c>
      <c r="G242" s="2356"/>
      <c r="H242" s="592">
        <f>H243+H245</f>
        <v>27795</v>
      </c>
      <c r="I242" s="571">
        <v>27435</v>
      </c>
      <c r="J242" s="595">
        <f>H242-I242</f>
        <v>360</v>
      </c>
      <c r="K242" s="477"/>
      <c r="L242" s="474"/>
      <c r="M242" s="668"/>
    </row>
    <row r="243" spans="1:23" ht="18" customHeight="1">
      <c r="A243" s="340"/>
      <c r="B243" s="344"/>
      <c r="C243" s="344"/>
      <c r="D243" s="344"/>
      <c r="E243" s="344"/>
      <c r="F243" s="350"/>
      <c r="G243" s="346" t="s">
        <v>420</v>
      </c>
      <c r="H243" s="589">
        <f>M243</f>
        <v>22095</v>
      </c>
      <c r="I243" s="570">
        <v>21735</v>
      </c>
      <c r="J243" s="590">
        <f>H243-I243</f>
        <v>360</v>
      </c>
      <c r="K243" s="444" t="s">
        <v>688</v>
      </c>
      <c r="L243" s="455"/>
      <c r="M243" s="1827">
        <f>M244</f>
        <v>22095</v>
      </c>
    </row>
    <row r="244" spans="1:23" ht="18" customHeight="1">
      <c r="A244" s="340"/>
      <c r="B244" s="344"/>
      <c r="C244" s="344"/>
      <c r="D244" s="344"/>
      <c r="E244" s="344"/>
      <c r="F244" s="350"/>
      <c r="G244" s="351"/>
      <c r="H244" s="592"/>
      <c r="I244" s="564"/>
      <c r="J244" s="595"/>
      <c r="K244" s="480" t="s">
        <v>689</v>
      </c>
      <c r="L244" s="481" t="s">
        <v>464</v>
      </c>
      <c r="M244" s="1078">
        <v>22095</v>
      </c>
    </row>
    <row r="245" spans="1:23" ht="18" customHeight="1">
      <c r="A245" s="340"/>
      <c r="B245" s="344"/>
      <c r="C245" s="344"/>
      <c r="D245" s="344"/>
      <c r="E245" s="344"/>
      <c r="F245" s="350"/>
      <c r="G245" s="346" t="s">
        <v>421</v>
      </c>
      <c r="H245" s="589">
        <f>M245</f>
        <v>5700</v>
      </c>
      <c r="I245" s="570">
        <v>5700</v>
      </c>
      <c r="J245" s="590">
        <f>H245-I245</f>
        <v>0</v>
      </c>
      <c r="K245" s="444" t="s">
        <v>690</v>
      </c>
      <c r="L245" s="441"/>
      <c r="M245" s="1824">
        <f>SUM(M246:M249)</f>
        <v>5700</v>
      </c>
    </row>
    <row r="246" spans="1:23" ht="18" customHeight="1">
      <c r="A246" s="340"/>
      <c r="B246" s="344"/>
      <c r="C246" s="344"/>
      <c r="D246" s="344"/>
      <c r="E246" s="344"/>
      <c r="F246" s="350"/>
      <c r="G246" s="344"/>
      <c r="H246" s="589"/>
      <c r="I246" s="565"/>
      <c r="J246" s="590"/>
      <c r="K246" s="437" t="s">
        <v>691</v>
      </c>
      <c r="L246" s="441" t="s">
        <v>464</v>
      </c>
      <c r="M246" s="666">
        <v>1200</v>
      </c>
    </row>
    <row r="247" spans="1:23" ht="18" customHeight="1">
      <c r="A247" s="340"/>
      <c r="B247" s="344"/>
      <c r="C247" s="344"/>
      <c r="D247" s="344"/>
      <c r="E247" s="344"/>
      <c r="F247" s="350"/>
      <c r="G247" s="344"/>
      <c r="H247" s="589"/>
      <c r="I247" s="565"/>
      <c r="J247" s="590"/>
      <c r="K247" s="437" t="s">
        <v>692</v>
      </c>
      <c r="L247" s="441" t="s">
        <v>464</v>
      </c>
      <c r="M247" s="666">
        <v>1200</v>
      </c>
    </row>
    <row r="248" spans="1:23" ht="18" customHeight="1">
      <c r="A248" s="340"/>
      <c r="B248" s="344"/>
      <c r="C248" s="344"/>
      <c r="D248" s="344"/>
      <c r="E248" s="344"/>
      <c r="F248" s="350"/>
      <c r="G248" s="344"/>
      <c r="H248" s="589"/>
      <c r="I248" s="565"/>
      <c r="J248" s="590"/>
      <c r="K248" s="437" t="s">
        <v>693</v>
      </c>
      <c r="L248" s="441" t="s">
        <v>464</v>
      </c>
      <c r="M248" s="666">
        <v>1200</v>
      </c>
    </row>
    <row r="249" spans="1:23" ht="18" customHeight="1">
      <c r="A249" s="340"/>
      <c r="B249" s="344"/>
      <c r="C249" s="344"/>
      <c r="D249" s="344"/>
      <c r="E249" s="344"/>
      <c r="F249" s="350"/>
      <c r="G249" s="344"/>
      <c r="H249" s="592"/>
      <c r="I249" s="565"/>
      <c r="J249" s="595"/>
      <c r="K249" s="437" t="s">
        <v>694</v>
      </c>
      <c r="L249" s="441" t="s">
        <v>464</v>
      </c>
      <c r="M249" s="1078">
        <v>2100</v>
      </c>
    </row>
    <row r="250" spans="1:23" ht="18" customHeight="1">
      <c r="A250" s="360"/>
      <c r="B250" s="347"/>
      <c r="C250" s="361"/>
      <c r="D250" s="347"/>
      <c r="E250" s="341" t="s">
        <v>422</v>
      </c>
      <c r="F250" s="342"/>
      <c r="G250" s="343"/>
      <c r="H250" s="600">
        <f>H251+H274+H277</f>
        <v>3565413</v>
      </c>
      <c r="I250" s="563">
        <v>3625735</v>
      </c>
      <c r="J250" s="667">
        <f>H250-I250</f>
        <v>-60322</v>
      </c>
      <c r="K250" s="427"/>
      <c r="L250" s="428"/>
      <c r="M250" s="666"/>
    </row>
    <row r="251" spans="1:23" ht="18" customHeight="1">
      <c r="A251" s="340"/>
      <c r="B251" s="344"/>
      <c r="C251" s="344"/>
      <c r="D251" s="344"/>
      <c r="E251" s="344"/>
      <c r="F251" s="2356" t="s">
        <v>423</v>
      </c>
      <c r="G251" s="2356"/>
      <c r="H251" s="592">
        <f>H252+H254+H260+H267</f>
        <v>3542713</v>
      </c>
      <c r="I251" s="571">
        <v>3600295</v>
      </c>
      <c r="J251" s="595">
        <f>H251-I251</f>
        <v>-57582</v>
      </c>
      <c r="K251" s="477"/>
      <c r="L251" s="474"/>
      <c r="M251" s="1534"/>
    </row>
    <row r="252" spans="1:23" ht="18" customHeight="1" thickBot="1">
      <c r="A252" s="340"/>
      <c r="B252" s="344"/>
      <c r="C252" s="344"/>
      <c r="D252" s="344"/>
      <c r="E252" s="344"/>
      <c r="F252" s="344"/>
      <c r="G252" s="344" t="s">
        <v>424</v>
      </c>
      <c r="H252" s="589">
        <f>M252</f>
        <v>238356</v>
      </c>
      <c r="I252" s="565">
        <v>241392</v>
      </c>
      <c r="J252" s="590">
        <f>H252-I252</f>
        <v>-3036</v>
      </c>
      <c r="K252" s="482" t="s">
        <v>695</v>
      </c>
      <c r="L252" s="434"/>
      <c r="M252" s="1827">
        <f>M253</f>
        <v>238356</v>
      </c>
    </row>
    <row r="253" spans="1:23" ht="18" customHeight="1">
      <c r="A253" s="532"/>
      <c r="B253" s="362"/>
      <c r="C253" s="362"/>
      <c r="D253" s="362"/>
      <c r="E253" s="363"/>
      <c r="F253" s="363"/>
      <c r="G253" s="550"/>
      <c r="H253" s="592"/>
      <c r="I253" s="583"/>
      <c r="J253" s="595"/>
      <c r="K253" s="483" t="s">
        <v>696</v>
      </c>
      <c r="L253" s="484" t="s">
        <v>464</v>
      </c>
      <c r="M253" s="666">
        <f>U253/1000</f>
        <v>238356</v>
      </c>
      <c r="O253" s="628">
        <v>5018021000</v>
      </c>
      <c r="P253" s="669">
        <v>9.5000000000000001E-2</v>
      </c>
      <c r="Q253" s="670">
        <v>0.5</v>
      </c>
      <c r="R253" s="629"/>
      <c r="S253" s="629"/>
      <c r="T253" s="629"/>
      <c r="U253" s="630">
        <f>ROUNDUP(O253*P253*Q253,-3)</f>
        <v>238356000</v>
      </c>
      <c r="V253" s="631"/>
      <c r="W253" s="624"/>
    </row>
    <row r="254" spans="1:23" ht="18" customHeight="1">
      <c r="A254" s="340"/>
      <c r="B254" s="344"/>
      <c r="C254" s="344"/>
      <c r="D254" s="344"/>
      <c r="E254" s="344"/>
      <c r="F254" s="344"/>
      <c r="G254" s="344" t="s">
        <v>425</v>
      </c>
      <c r="H254" s="589">
        <f>M254</f>
        <v>319203</v>
      </c>
      <c r="I254" s="565">
        <v>461412</v>
      </c>
      <c r="J254" s="590">
        <f>H254-I254</f>
        <v>-142209</v>
      </c>
      <c r="K254" s="444" t="s">
        <v>695</v>
      </c>
      <c r="L254" s="461"/>
      <c r="M254" s="1827">
        <f>SUM(M255:M259)</f>
        <v>319203</v>
      </c>
      <c r="O254" s="632"/>
      <c r="P254" s="633"/>
      <c r="Q254" s="633"/>
      <c r="R254" s="633"/>
      <c r="S254" s="633"/>
      <c r="T254" s="633"/>
      <c r="U254" s="634"/>
      <c r="V254" s="677"/>
      <c r="W254" s="678"/>
    </row>
    <row r="255" spans="1:23" ht="18" customHeight="1">
      <c r="A255" s="532"/>
      <c r="B255" s="362"/>
      <c r="C255" s="362"/>
      <c r="D255" s="362"/>
      <c r="E255" s="363"/>
      <c r="F255" s="363"/>
      <c r="G255" s="551"/>
      <c r="H255" s="589"/>
      <c r="I255" s="584"/>
      <c r="J255" s="590"/>
      <c r="K255" s="488" t="s">
        <v>697</v>
      </c>
      <c r="L255" s="533" t="s">
        <v>464</v>
      </c>
      <c r="M255" s="666">
        <f>U255/1000</f>
        <v>181402</v>
      </c>
      <c r="O255" s="632">
        <v>5018021000</v>
      </c>
      <c r="P255" s="671">
        <v>7.2300000000000003E-2</v>
      </c>
      <c r="Q255" s="636">
        <v>0.5</v>
      </c>
      <c r="R255" s="633"/>
      <c r="S255" s="633"/>
      <c r="T255" s="633"/>
      <c r="U255" s="634">
        <f>ROUNDUP(O255*P255*Q255,-3)</f>
        <v>181402000</v>
      </c>
      <c r="V255" s="677"/>
      <c r="W255" s="678"/>
    </row>
    <row r="256" spans="1:23" ht="18" customHeight="1">
      <c r="A256" s="532"/>
      <c r="B256" s="362"/>
      <c r="C256" s="362"/>
      <c r="D256" s="362"/>
      <c r="E256" s="363"/>
      <c r="F256" s="363"/>
      <c r="G256" s="551"/>
      <c r="H256" s="589"/>
      <c r="I256" s="584"/>
      <c r="J256" s="590"/>
      <c r="K256" s="488" t="s">
        <v>698</v>
      </c>
      <c r="L256" s="533" t="s">
        <v>464</v>
      </c>
      <c r="M256" s="666">
        <f t="shared" ref="M256:M259" si="1">U256/1000</f>
        <v>11746</v>
      </c>
      <c r="O256" s="632">
        <v>181402000</v>
      </c>
      <c r="P256" s="671">
        <v>0.1295</v>
      </c>
      <c r="Q256" s="636">
        <v>0.5</v>
      </c>
      <c r="R256" s="633"/>
      <c r="S256" s="633"/>
      <c r="T256" s="633"/>
      <c r="U256" s="634">
        <f>ROUNDUP(O256*P256*Q256,-3)</f>
        <v>11746000</v>
      </c>
      <c r="V256" s="677"/>
      <c r="W256" s="678"/>
    </row>
    <row r="257" spans="1:23" ht="18" customHeight="1">
      <c r="A257" s="532"/>
      <c r="B257" s="362"/>
      <c r="C257" s="362"/>
      <c r="D257" s="362"/>
      <c r="E257" s="363"/>
      <c r="F257" s="363"/>
      <c r="G257" s="551"/>
      <c r="H257" s="589"/>
      <c r="I257" s="584"/>
      <c r="J257" s="590"/>
      <c r="K257" s="488" t="s">
        <v>699</v>
      </c>
      <c r="L257" s="533" t="s">
        <v>464</v>
      </c>
      <c r="M257" s="666">
        <f t="shared" si="1"/>
        <v>45163</v>
      </c>
      <c r="O257" s="632">
        <v>5018021000</v>
      </c>
      <c r="P257" s="671">
        <v>1.7999999999999999E-2</v>
      </c>
      <c r="Q257" s="636">
        <v>0.5</v>
      </c>
      <c r="R257" s="633"/>
      <c r="S257" s="633"/>
      <c r="T257" s="633"/>
      <c r="U257" s="634">
        <f>ROUNDUP(O257*P257*Q257,-3)</f>
        <v>45163000</v>
      </c>
      <c r="V257" s="677"/>
      <c r="W257" s="678"/>
    </row>
    <row r="258" spans="1:23" ht="18" customHeight="1">
      <c r="A258" s="532"/>
      <c r="B258" s="362"/>
      <c r="C258" s="362"/>
      <c r="D258" s="362"/>
      <c r="E258" s="363"/>
      <c r="F258" s="363"/>
      <c r="G258" s="551"/>
      <c r="H258" s="589"/>
      <c r="I258" s="584"/>
      <c r="J258" s="590"/>
      <c r="K258" s="488" t="s">
        <v>700</v>
      </c>
      <c r="L258" s="533" t="s">
        <v>464</v>
      </c>
      <c r="M258" s="666">
        <f t="shared" si="1"/>
        <v>32618</v>
      </c>
      <c r="O258" s="632">
        <v>5018021000</v>
      </c>
      <c r="P258" s="671">
        <v>6.4999999999999997E-3</v>
      </c>
      <c r="Q258" s="636"/>
      <c r="R258" s="633"/>
      <c r="S258" s="633"/>
      <c r="T258" s="633"/>
      <c r="U258" s="634">
        <f>ROUNDUP(O258*P258,-3)</f>
        <v>32618000</v>
      </c>
      <c r="V258" s="677"/>
      <c r="W258" s="678"/>
    </row>
    <row r="259" spans="1:23" ht="18" customHeight="1">
      <c r="A259" s="532"/>
      <c r="B259" s="362"/>
      <c r="C259" s="362"/>
      <c r="D259" s="362"/>
      <c r="E259" s="363"/>
      <c r="F259" s="363"/>
      <c r="G259" s="550"/>
      <c r="H259" s="592"/>
      <c r="I259" s="583"/>
      <c r="J259" s="595"/>
      <c r="K259" s="483" t="s">
        <v>701</v>
      </c>
      <c r="L259" s="484" t="s">
        <v>464</v>
      </c>
      <c r="M259" s="666">
        <f t="shared" si="1"/>
        <v>48274</v>
      </c>
      <c r="O259" s="632">
        <v>5018021000</v>
      </c>
      <c r="P259" s="672">
        <v>9.6199999999999992</v>
      </c>
      <c r="Q259" s="673">
        <v>1000</v>
      </c>
      <c r="R259" s="633"/>
      <c r="S259" s="633"/>
      <c r="T259" s="633"/>
      <c r="U259" s="634">
        <f>ROUNDUP(O259*(P259/Q259),-3)</f>
        <v>48274000</v>
      </c>
      <c r="V259" s="631"/>
      <c r="W259" s="624"/>
    </row>
    <row r="260" spans="1:23" ht="18" customHeight="1">
      <c r="A260" s="340"/>
      <c r="B260" s="344"/>
      <c r="C260" s="344"/>
      <c r="D260" s="344"/>
      <c r="E260" s="344"/>
      <c r="F260" s="344"/>
      <c r="G260" s="350" t="s">
        <v>426</v>
      </c>
      <c r="H260" s="589">
        <f>M260</f>
        <v>2828156</v>
      </c>
      <c r="I260" s="565">
        <v>2897491</v>
      </c>
      <c r="J260" s="590">
        <f>H260-I260</f>
        <v>-69335</v>
      </c>
      <c r="K260" s="482" t="s">
        <v>695</v>
      </c>
      <c r="L260" s="434"/>
      <c r="M260" s="1827">
        <f>SUM(M261:M266)</f>
        <v>2828156</v>
      </c>
      <c r="O260" s="632"/>
      <c r="P260" s="633"/>
      <c r="Q260" s="633"/>
      <c r="R260" s="633"/>
      <c r="S260" s="633"/>
      <c r="T260" s="633"/>
      <c r="U260" s="634"/>
      <c r="V260" s="679" t="s">
        <v>965</v>
      </c>
      <c r="W260" s="678"/>
    </row>
    <row r="261" spans="1:23" ht="18" customHeight="1">
      <c r="A261" s="532"/>
      <c r="B261" s="362"/>
      <c r="C261" s="362"/>
      <c r="D261" s="362"/>
      <c r="E261" s="363"/>
      <c r="F261" s="363"/>
      <c r="G261" s="551"/>
      <c r="H261" s="589"/>
      <c r="I261" s="584"/>
      <c r="J261" s="590"/>
      <c r="K261" s="488" t="s">
        <v>702</v>
      </c>
      <c r="L261" s="533" t="s">
        <v>464</v>
      </c>
      <c r="M261" s="666">
        <f>U261/1000</f>
        <v>1209040</v>
      </c>
      <c r="O261" s="632">
        <v>25453466000</v>
      </c>
      <c r="P261" s="671">
        <v>9.5000000000000001E-2</v>
      </c>
      <c r="Q261" s="636">
        <v>0.5</v>
      </c>
      <c r="R261" s="633"/>
      <c r="S261" s="633"/>
      <c r="T261" s="633"/>
      <c r="U261" s="634">
        <f>ROUNDUP(O261*P261*Q261,-3)</f>
        <v>1209040000</v>
      </c>
      <c r="V261" s="677">
        <v>19800000000</v>
      </c>
      <c r="W261" s="678"/>
    </row>
    <row r="262" spans="1:23" ht="18" customHeight="1">
      <c r="A262" s="532"/>
      <c r="B262" s="362"/>
      <c r="C262" s="362"/>
      <c r="D262" s="362"/>
      <c r="E262" s="363"/>
      <c r="F262" s="363"/>
      <c r="G262" s="551"/>
      <c r="H262" s="589"/>
      <c r="I262" s="584"/>
      <c r="J262" s="590"/>
      <c r="K262" s="488" t="s">
        <v>703</v>
      </c>
      <c r="L262" s="533" t="s">
        <v>464</v>
      </c>
      <c r="M262" s="666">
        <f t="shared" ref="M262:M266" si="2">U262/1000</f>
        <v>920143</v>
      </c>
      <c r="O262" s="632">
        <v>25453466000</v>
      </c>
      <c r="P262" s="671">
        <v>7.2300000000000003E-2</v>
      </c>
      <c r="Q262" s="636">
        <v>0.5</v>
      </c>
      <c r="R262" s="633"/>
      <c r="S262" s="633"/>
      <c r="T262" s="633"/>
      <c r="U262" s="634">
        <f>ROUNDUP(O262*P262*Q262,-3)</f>
        <v>920143000</v>
      </c>
      <c r="V262" s="677"/>
      <c r="W262" s="678"/>
    </row>
    <row r="263" spans="1:23" ht="18" customHeight="1">
      <c r="A263" s="532"/>
      <c r="B263" s="362"/>
      <c r="C263" s="362"/>
      <c r="D263" s="362"/>
      <c r="E263" s="363"/>
      <c r="F263" s="363"/>
      <c r="G263" s="551"/>
      <c r="H263" s="589"/>
      <c r="I263" s="584"/>
      <c r="J263" s="590"/>
      <c r="K263" s="488" t="s">
        <v>704</v>
      </c>
      <c r="L263" s="533" t="s">
        <v>464</v>
      </c>
      <c r="M263" s="666">
        <f t="shared" si="2"/>
        <v>59580</v>
      </c>
      <c r="O263" s="632">
        <v>920143000</v>
      </c>
      <c r="P263" s="671">
        <v>0.1295</v>
      </c>
      <c r="Q263" s="636">
        <v>0.5</v>
      </c>
      <c r="R263" s="633"/>
      <c r="S263" s="633"/>
      <c r="T263" s="633"/>
      <c r="U263" s="634">
        <f>ROUNDUP(O263*P263*Q263,-3)</f>
        <v>59580000</v>
      </c>
      <c r="V263" s="677"/>
      <c r="W263" s="678"/>
    </row>
    <row r="264" spans="1:23" ht="18" customHeight="1">
      <c r="A264" s="532"/>
      <c r="B264" s="362"/>
      <c r="C264" s="362"/>
      <c r="D264" s="362"/>
      <c r="E264" s="363"/>
      <c r="F264" s="363"/>
      <c r="G264" s="551"/>
      <c r="H264" s="589"/>
      <c r="I264" s="584"/>
      <c r="J264" s="590"/>
      <c r="K264" s="488" t="s">
        <v>705</v>
      </c>
      <c r="L264" s="533" t="s">
        <v>464</v>
      </c>
      <c r="M264" s="666">
        <f t="shared" si="2"/>
        <v>229082</v>
      </c>
      <c r="O264" s="632">
        <v>25453466000</v>
      </c>
      <c r="P264" s="671">
        <v>1.7999999999999999E-2</v>
      </c>
      <c r="Q264" s="636">
        <v>0.5</v>
      </c>
      <c r="R264" s="633"/>
      <c r="S264" s="633"/>
      <c r="T264" s="633"/>
      <c r="U264" s="634">
        <f>ROUNDUP(O264*P264*Q264,-3)</f>
        <v>229082000</v>
      </c>
      <c r="V264" s="677"/>
      <c r="W264" s="678"/>
    </row>
    <row r="265" spans="1:23" ht="18" customHeight="1">
      <c r="A265" s="532"/>
      <c r="B265" s="362"/>
      <c r="C265" s="362"/>
      <c r="D265" s="362"/>
      <c r="E265" s="363"/>
      <c r="F265" s="363"/>
      <c r="G265" s="551"/>
      <c r="H265" s="589"/>
      <c r="I265" s="584"/>
      <c r="J265" s="590"/>
      <c r="K265" s="488" t="s">
        <v>706</v>
      </c>
      <c r="L265" s="533" t="s">
        <v>464</v>
      </c>
      <c r="M265" s="666">
        <f t="shared" si="2"/>
        <v>165448</v>
      </c>
      <c r="O265" s="632">
        <v>25453466000</v>
      </c>
      <c r="P265" s="671">
        <v>6.4999999999999997E-3</v>
      </c>
      <c r="Q265" s="636"/>
      <c r="R265" s="633"/>
      <c r="S265" s="633"/>
      <c r="T265" s="633"/>
      <c r="U265" s="634">
        <f>ROUNDUP(O265*P265,-3)</f>
        <v>165448000</v>
      </c>
      <c r="V265" s="677"/>
      <c r="W265" s="678"/>
    </row>
    <row r="266" spans="1:23" ht="18" customHeight="1">
      <c r="A266" s="532"/>
      <c r="B266" s="362"/>
      <c r="C266" s="362"/>
      <c r="D266" s="362"/>
      <c r="E266" s="363"/>
      <c r="F266" s="363"/>
      <c r="G266" s="552"/>
      <c r="H266" s="592"/>
      <c r="I266" s="585"/>
      <c r="J266" s="595"/>
      <c r="K266" s="485" t="s">
        <v>707</v>
      </c>
      <c r="L266" s="486" t="s">
        <v>464</v>
      </c>
      <c r="M266" s="1078">
        <f t="shared" si="2"/>
        <v>244863</v>
      </c>
      <c r="O266" s="632">
        <v>25453466000</v>
      </c>
      <c r="P266" s="672">
        <v>9.6199999999999992</v>
      </c>
      <c r="Q266" s="673">
        <v>1000</v>
      </c>
      <c r="R266" s="633"/>
      <c r="S266" s="633"/>
      <c r="T266" s="633"/>
      <c r="U266" s="634">
        <f>ROUNDUP(O266*(P266/Q266),-3)</f>
        <v>244863000</v>
      </c>
      <c r="V266" s="631"/>
      <c r="W266" s="624"/>
    </row>
    <row r="267" spans="1:23" ht="18" customHeight="1">
      <c r="A267" s="534"/>
      <c r="B267" s="365"/>
      <c r="C267" s="366"/>
      <c r="D267" s="364"/>
      <c r="E267" s="367"/>
      <c r="F267" s="367"/>
      <c r="G267" s="553" t="s">
        <v>427</v>
      </c>
      <c r="H267" s="589">
        <f>M267</f>
        <v>156998</v>
      </c>
      <c r="I267" s="586">
        <v>0</v>
      </c>
      <c r="J267" s="590">
        <f>H267-I267</f>
        <v>156998</v>
      </c>
      <c r="K267" s="548" t="s">
        <v>708</v>
      </c>
      <c r="L267" s="487"/>
      <c r="M267" s="1824">
        <f>SUM(M268:M273)</f>
        <v>156998</v>
      </c>
      <c r="O267" s="632"/>
      <c r="P267" s="633"/>
      <c r="Q267" s="633"/>
      <c r="R267" s="633"/>
      <c r="S267" s="633"/>
      <c r="T267" s="633"/>
      <c r="U267" s="634"/>
      <c r="V267" s="679" t="s">
        <v>966</v>
      </c>
      <c r="W267" s="678"/>
    </row>
    <row r="268" spans="1:23" ht="18" customHeight="1">
      <c r="A268" s="534"/>
      <c r="B268" s="365"/>
      <c r="C268" s="366"/>
      <c r="D268" s="364"/>
      <c r="E268" s="367"/>
      <c r="F268" s="368"/>
      <c r="G268" s="554"/>
      <c r="H268" s="589"/>
      <c r="I268" s="587"/>
      <c r="J268" s="590"/>
      <c r="K268" s="488" t="s">
        <v>709</v>
      </c>
      <c r="L268" s="533" t="s">
        <v>464</v>
      </c>
      <c r="M268" s="666">
        <f>U268/1000</f>
        <v>67116</v>
      </c>
      <c r="O268" s="632">
        <v>1412958000</v>
      </c>
      <c r="P268" s="671">
        <v>9.5000000000000001E-2</v>
      </c>
      <c r="Q268" s="636">
        <v>0.5</v>
      </c>
      <c r="R268" s="633"/>
      <c r="S268" s="633"/>
      <c r="T268" s="633"/>
      <c r="U268" s="634">
        <f>ROUNDUP(O268*P268*Q268,-3)</f>
        <v>67116000</v>
      </c>
      <c r="V268" s="677">
        <v>55408000</v>
      </c>
      <c r="W268" s="678" t="s">
        <v>967</v>
      </c>
    </row>
    <row r="269" spans="1:23" ht="18" customHeight="1">
      <c r="A269" s="534"/>
      <c r="B269" s="365"/>
      <c r="C269" s="366"/>
      <c r="D269" s="364"/>
      <c r="E269" s="367"/>
      <c r="F269" s="368"/>
      <c r="G269" s="554"/>
      <c r="H269" s="589"/>
      <c r="I269" s="587"/>
      <c r="J269" s="590"/>
      <c r="K269" s="488" t="s">
        <v>710</v>
      </c>
      <c r="L269" s="533" t="s">
        <v>464</v>
      </c>
      <c r="M269" s="666">
        <f t="shared" ref="M269:M273" si="3">U269/1000</f>
        <v>51079</v>
      </c>
      <c r="O269" s="632">
        <v>1412958000</v>
      </c>
      <c r="P269" s="671">
        <v>7.2300000000000003E-2</v>
      </c>
      <c r="Q269" s="636">
        <v>0.5</v>
      </c>
      <c r="R269" s="633"/>
      <c r="S269" s="633"/>
      <c r="T269" s="633"/>
      <c r="U269" s="634">
        <f>ROUNDUP(O269*P269*Q269,-3)</f>
        <v>51079000</v>
      </c>
      <c r="V269" s="677">
        <v>191661000</v>
      </c>
      <c r="W269" s="678" t="s">
        <v>968</v>
      </c>
    </row>
    <row r="270" spans="1:23" ht="18" customHeight="1">
      <c r="A270" s="534"/>
      <c r="B270" s="365"/>
      <c r="C270" s="366"/>
      <c r="D270" s="364"/>
      <c r="E270" s="367"/>
      <c r="F270" s="368"/>
      <c r="G270" s="554"/>
      <c r="H270" s="589"/>
      <c r="I270" s="587"/>
      <c r="J270" s="590"/>
      <c r="K270" s="488" t="s">
        <v>711</v>
      </c>
      <c r="L270" s="533" t="s">
        <v>464</v>
      </c>
      <c r="M270" s="666">
        <f t="shared" si="3"/>
        <v>3308</v>
      </c>
      <c r="O270" s="632">
        <v>51079000</v>
      </c>
      <c r="P270" s="671">
        <v>0.1295</v>
      </c>
      <c r="Q270" s="636">
        <v>0.5</v>
      </c>
      <c r="R270" s="633"/>
      <c r="S270" s="633"/>
      <c r="T270" s="633"/>
      <c r="U270" s="634">
        <f>ROUNDUP(O270*P270*Q270,-3)</f>
        <v>3308000</v>
      </c>
      <c r="V270" s="677">
        <v>374709000</v>
      </c>
      <c r="W270" s="678" t="s">
        <v>969</v>
      </c>
    </row>
    <row r="271" spans="1:23" ht="18" customHeight="1">
      <c r="A271" s="534"/>
      <c r="B271" s="365"/>
      <c r="C271" s="366"/>
      <c r="D271" s="364"/>
      <c r="E271" s="367"/>
      <c r="F271" s="368"/>
      <c r="G271" s="554"/>
      <c r="H271" s="589"/>
      <c r="I271" s="587"/>
      <c r="J271" s="590"/>
      <c r="K271" s="488" t="s">
        <v>712</v>
      </c>
      <c r="L271" s="533" t="s">
        <v>464</v>
      </c>
      <c r="M271" s="666">
        <f t="shared" si="3"/>
        <v>12717</v>
      </c>
      <c r="O271" s="632">
        <v>1412958000</v>
      </c>
      <c r="P271" s="671">
        <v>1.7999999999999999E-2</v>
      </c>
      <c r="Q271" s="636">
        <v>0.5</v>
      </c>
      <c r="R271" s="633"/>
      <c r="S271" s="633"/>
      <c r="T271" s="633"/>
      <c r="U271" s="634">
        <f>ROUNDUP(O271*P271*Q271,-3)</f>
        <v>12717000</v>
      </c>
      <c r="V271" s="677">
        <v>142285000</v>
      </c>
      <c r="W271" s="678" t="s">
        <v>970</v>
      </c>
    </row>
    <row r="272" spans="1:23" ht="18" customHeight="1">
      <c r="A272" s="534"/>
      <c r="B272" s="365"/>
      <c r="C272" s="366"/>
      <c r="D272" s="364"/>
      <c r="E272" s="367"/>
      <c r="F272" s="368"/>
      <c r="G272" s="554"/>
      <c r="H272" s="589"/>
      <c r="I272" s="587"/>
      <c r="J272" s="590"/>
      <c r="K272" s="488" t="s">
        <v>713</v>
      </c>
      <c r="L272" s="533" t="s">
        <v>464</v>
      </c>
      <c r="M272" s="666">
        <f t="shared" si="3"/>
        <v>9185</v>
      </c>
      <c r="O272" s="632">
        <v>1412958000</v>
      </c>
      <c r="P272" s="671">
        <v>6.4999999999999997E-3</v>
      </c>
      <c r="Q272" s="636"/>
      <c r="R272" s="633"/>
      <c r="S272" s="633"/>
      <c r="T272" s="633"/>
      <c r="U272" s="634">
        <f>ROUNDUP(O272*P272,-3)</f>
        <v>9185000</v>
      </c>
      <c r="V272" s="677">
        <v>67696000</v>
      </c>
      <c r="W272" s="678" t="s">
        <v>971</v>
      </c>
    </row>
    <row r="273" spans="1:23" ht="18" customHeight="1">
      <c r="A273" s="534"/>
      <c r="B273" s="365"/>
      <c r="C273" s="366"/>
      <c r="D273" s="364"/>
      <c r="E273" s="367"/>
      <c r="F273" s="369"/>
      <c r="G273" s="555"/>
      <c r="H273" s="592"/>
      <c r="I273" s="588"/>
      <c r="J273" s="595"/>
      <c r="K273" s="485" t="s">
        <v>714</v>
      </c>
      <c r="L273" s="533" t="s">
        <v>464</v>
      </c>
      <c r="M273" s="666">
        <f t="shared" si="3"/>
        <v>13593</v>
      </c>
      <c r="O273" s="632">
        <v>1412958000</v>
      </c>
      <c r="P273" s="672">
        <v>9.6199999999999992</v>
      </c>
      <c r="Q273" s="673">
        <v>1000</v>
      </c>
      <c r="R273" s="633"/>
      <c r="S273" s="633"/>
      <c r="T273" s="633"/>
      <c r="U273" s="634">
        <f>ROUNDUP(O273*(P273/Q273),-3)</f>
        <v>13593000</v>
      </c>
      <c r="V273" s="631">
        <v>126328000</v>
      </c>
      <c r="W273" s="624" t="s">
        <v>972</v>
      </c>
    </row>
    <row r="274" spans="1:23" ht="18" customHeight="1">
      <c r="A274" s="340"/>
      <c r="B274" s="344"/>
      <c r="C274" s="344"/>
      <c r="D274" s="344"/>
      <c r="E274" s="344"/>
      <c r="F274" s="2356" t="s">
        <v>428</v>
      </c>
      <c r="G274" s="2356"/>
      <c r="H274" s="591">
        <f>H275</f>
        <v>19400</v>
      </c>
      <c r="I274" s="571">
        <v>21200</v>
      </c>
      <c r="J274" s="597">
        <f>H274-I274</f>
        <v>-1800</v>
      </c>
      <c r="K274" s="477"/>
      <c r="L274" s="474"/>
      <c r="M274" s="668"/>
      <c r="O274" s="632"/>
      <c r="P274" s="633"/>
      <c r="Q274" s="633"/>
      <c r="R274" s="633"/>
      <c r="S274" s="633"/>
      <c r="T274" s="633"/>
      <c r="U274" s="634"/>
      <c r="V274" s="631">
        <v>147745000</v>
      </c>
      <c r="W274" s="624" t="s">
        <v>973</v>
      </c>
    </row>
    <row r="275" spans="1:23" ht="18" customHeight="1">
      <c r="A275" s="340"/>
      <c r="B275" s="344"/>
      <c r="C275" s="344"/>
      <c r="D275" s="344"/>
      <c r="E275" s="344"/>
      <c r="F275" s="350"/>
      <c r="G275" s="344" t="s">
        <v>429</v>
      </c>
      <c r="H275" s="589">
        <f>M275</f>
        <v>19400</v>
      </c>
      <c r="I275" s="565">
        <v>21200</v>
      </c>
      <c r="J275" s="590">
        <f>H275-I275</f>
        <v>-1800</v>
      </c>
      <c r="K275" s="444" t="s">
        <v>715</v>
      </c>
      <c r="L275" s="489"/>
      <c r="M275" s="1824">
        <f>M276</f>
        <v>19400</v>
      </c>
      <c r="O275" s="632"/>
      <c r="P275" s="633"/>
      <c r="Q275" s="633"/>
      <c r="R275" s="633"/>
      <c r="S275" s="633"/>
      <c r="T275" s="633"/>
      <c r="U275" s="634"/>
      <c r="V275" s="631">
        <v>156739000</v>
      </c>
      <c r="W275" s="624" t="s">
        <v>974</v>
      </c>
    </row>
    <row r="276" spans="1:23" ht="18" customHeight="1" thickBot="1">
      <c r="A276" s="340"/>
      <c r="B276" s="344"/>
      <c r="C276" s="344"/>
      <c r="D276" s="344"/>
      <c r="E276" s="344"/>
      <c r="F276" s="350"/>
      <c r="G276" s="344"/>
      <c r="H276" s="592"/>
      <c r="I276" s="565"/>
      <c r="J276" s="595"/>
      <c r="K276" s="490" t="s">
        <v>716</v>
      </c>
      <c r="L276" s="441" t="s">
        <v>464</v>
      </c>
      <c r="M276" s="666">
        <v>19400</v>
      </c>
      <c r="O276" s="674"/>
      <c r="P276" s="675"/>
      <c r="Q276" s="675"/>
      <c r="R276" s="675"/>
      <c r="S276" s="675"/>
      <c r="T276" s="675"/>
      <c r="U276" s="676"/>
      <c r="V276" s="631">
        <v>113240000</v>
      </c>
      <c r="W276" s="624" t="s">
        <v>975</v>
      </c>
    </row>
    <row r="277" spans="1:23" ht="18" customHeight="1">
      <c r="A277" s="340"/>
      <c r="B277" s="344"/>
      <c r="C277" s="344"/>
      <c r="D277" s="370"/>
      <c r="E277" s="370"/>
      <c r="F277" s="2354" t="s">
        <v>430</v>
      </c>
      <c r="G277" s="2355"/>
      <c r="H277" s="591">
        <f>M277</f>
        <v>3300</v>
      </c>
      <c r="I277" s="571">
        <v>4240</v>
      </c>
      <c r="J277" s="597">
        <f>H277-I277</f>
        <v>-940</v>
      </c>
      <c r="K277" s="549"/>
      <c r="L277" s="474"/>
      <c r="M277" s="1850">
        <f>M278</f>
        <v>3300</v>
      </c>
    </row>
    <row r="278" spans="1:23" ht="18" customHeight="1">
      <c r="A278" s="340"/>
      <c r="B278" s="344"/>
      <c r="C278" s="344"/>
      <c r="D278" s="370"/>
      <c r="E278" s="370"/>
      <c r="F278" s="350"/>
      <c r="G278" s="371"/>
      <c r="H278" s="589"/>
      <c r="I278" s="565"/>
      <c r="J278" s="590"/>
      <c r="K278" s="549" t="s">
        <v>717</v>
      </c>
      <c r="L278" s="441"/>
      <c r="M278" s="1827">
        <f>M279+M280</f>
        <v>3300</v>
      </c>
    </row>
    <row r="279" spans="1:23" ht="18" customHeight="1">
      <c r="A279" s="340"/>
      <c r="B279" s="344"/>
      <c r="C279" s="344"/>
      <c r="D279" s="370"/>
      <c r="E279" s="370"/>
      <c r="F279" s="350"/>
      <c r="G279" s="350"/>
      <c r="H279" s="589"/>
      <c r="I279" s="565"/>
      <c r="J279" s="590"/>
      <c r="K279" s="491" t="s">
        <v>718</v>
      </c>
      <c r="L279" s="441" t="s">
        <v>464</v>
      </c>
      <c r="M279" s="666">
        <v>3000</v>
      </c>
    </row>
    <row r="280" spans="1:23" ht="18" customHeight="1">
      <c r="A280" s="340"/>
      <c r="B280" s="344"/>
      <c r="C280" s="344"/>
      <c r="D280" s="344"/>
      <c r="E280" s="370"/>
      <c r="F280" s="372"/>
      <c r="G280" s="373"/>
      <c r="H280" s="592"/>
      <c r="I280" s="564"/>
      <c r="J280" s="595"/>
      <c r="K280" s="491" t="s">
        <v>719</v>
      </c>
      <c r="L280" s="441" t="s">
        <v>464</v>
      </c>
      <c r="M280" s="666">
        <v>300</v>
      </c>
    </row>
    <row r="281" spans="1:23" ht="18" customHeight="1">
      <c r="A281" s="340"/>
      <c r="B281" s="2164"/>
      <c r="C281" s="2163"/>
      <c r="D281" s="2163"/>
      <c r="E281" s="349" t="s">
        <v>431</v>
      </c>
      <c r="F281" s="349"/>
      <c r="G281" s="356"/>
      <c r="H281" s="591">
        <f>H282</f>
        <v>0</v>
      </c>
      <c r="I281" s="572">
        <v>0</v>
      </c>
      <c r="J281" s="597">
        <f t="shared" ref="J281:J286" si="4">H281-I281</f>
        <v>0</v>
      </c>
      <c r="K281" s="470"/>
      <c r="L281" s="492"/>
      <c r="M281" s="668"/>
    </row>
    <row r="282" spans="1:23" ht="18" customHeight="1">
      <c r="A282" s="340"/>
      <c r="B282" s="344"/>
      <c r="C282" s="344"/>
      <c r="D282" s="344"/>
      <c r="E282" s="344"/>
      <c r="F282" s="2357" t="s">
        <v>432</v>
      </c>
      <c r="G282" s="2357"/>
      <c r="H282" s="591">
        <f>M282</f>
        <v>0</v>
      </c>
      <c r="I282" s="566">
        <v>0</v>
      </c>
      <c r="J282" s="597">
        <f t="shared" si="4"/>
        <v>0</v>
      </c>
      <c r="K282" s="437"/>
      <c r="L282" s="493" t="s">
        <v>464</v>
      </c>
      <c r="M282" s="668">
        <v>0</v>
      </c>
    </row>
    <row r="283" spans="1:23" ht="18" customHeight="1">
      <c r="A283" s="345"/>
      <c r="B283" s="344"/>
      <c r="C283" s="344"/>
      <c r="D283" s="341" t="s">
        <v>433</v>
      </c>
      <c r="E283" s="342"/>
      <c r="F283" s="342"/>
      <c r="G283" s="343"/>
      <c r="H283" s="591">
        <f>H284+H309</f>
        <v>149822</v>
      </c>
      <c r="I283" s="572">
        <v>88499</v>
      </c>
      <c r="J283" s="597">
        <f t="shared" si="4"/>
        <v>61323</v>
      </c>
      <c r="K283" s="494"/>
      <c r="L283" s="495"/>
      <c r="M283" s="668"/>
    </row>
    <row r="284" spans="1:23" ht="18" customHeight="1">
      <c r="A284" s="345"/>
      <c r="B284" s="344"/>
      <c r="C284" s="344"/>
      <c r="D284" s="347"/>
      <c r="E284" s="375" t="s">
        <v>401</v>
      </c>
      <c r="F284" s="347"/>
      <c r="G284" s="343"/>
      <c r="H284" s="591">
        <f>H285+H301</f>
        <v>138782</v>
      </c>
      <c r="I284" s="572">
        <v>78459</v>
      </c>
      <c r="J284" s="597">
        <f t="shared" si="4"/>
        <v>60323</v>
      </c>
      <c r="K284" s="494"/>
      <c r="L284" s="495"/>
      <c r="M284" s="668"/>
    </row>
    <row r="285" spans="1:23" ht="18" customHeight="1">
      <c r="A285" s="345"/>
      <c r="B285" s="344"/>
      <c r="C285" s="344"/>
      <c r="D285" s="347"/>
      <c r="E285" s="347"/>
      <c r="F285" s="356" t="s">
        <v>402</v>
      </c>
      <c r="G285" s="349"/>
      <c r="H285" s="591">
        <f>H286</f>
        <v>42632</v>
      </c>
      <c r="I285" s="572">
        <v>36559</v>
      </c>
      <c r="J285" s="597">
        <f t="shared" si="4"/>
        <v>6073</v>
      </c>
      <c r="K285" s="494"/>
      <c r="L285" s="495"/>
      <c r="M285" s="668"/>
    </row>
    <row r="286" spans="1:23" ht="18" customHeight="1">
      <c r="A286" s="340"/>
      <c r="B286" s="344"/>
      <c r="C286" s="344"/>
      <c r="D286" s="344"/>
      <c r="E286" s="344"/>
      <c r="F286" s="344"/>
      <c r="G286" s="346" t="s">
        <v>406</v>
      </c>
      <c r="H286" s="589">
        <f>M286</f>
        <v>42632</v>
      </c>
      <c r="I286" s="569">
        <v>36559</v>
      </c>
      <c r="J286" s="594">
        <f t="shared" si="4"/>
        <v>6073</v>
      </c>
      <c r="K286" s="456" t="s">
        <v>529</v>
      </c>
      <c r="L286" s="455"/>
      <c r="M286" s="1824">
        <f>M287+M288+M289+M290+M291+M292+M293+M294+M297+M298</f>
        <v>42632</v>
      </c>
    </row>
    <row r="287" spans="1:23" ht="18" customHeight="1">
      <c r="A287" s="340"/>
      <c r="B287" s="344"/>
      <c r="C287" s="344"/>
      <c r="D287" s="344"/>
      <c r="E287" s="344"/>
      <c r="F287" s="344"/>
      <c r="G287" s="344"/>
      <c r="H287" s="589"/>
      <c r="I287" s="566"/>
      <c r="J287" s="590"/>
      <c r="K287" s="450" t="s">
        <v>720</v>
      </c>
      <c r="L287" s="436" t="s">
        <v>242</v>
      </c>
      <c r="M287" s="666">
        <v>5500</v>
      </c>
    </row>
    <row r="288" spans="1:23" ht="18" customHeight="1">
      <c r="A288" s="340"/>
      <c r="B288" s="344"/>
      <c r="C288" s="344"/>
      <c r="D288" s="344"/>
      <c r="E288" s="344"/>
      <c r="F288" s="344"/>
      <c r="G288" s="344"/>
      <c r="H288" s="589"/>
      <c r="I288" s="566"/>
      <c r="J288" s="590"/>
      <c r="K288" s="437" t="s">
        <v>721</v>
      </c>
      <c r="L288" s="442" t="s">
        <v>464</v>
      </c>
      <c r="M288" s="666">
        <v>2508</v>
      </c>
    </row>
    <row r="289" spans="1:13" ht="18" customHeight="1">
      <c r="A289" s="340"/>
      <c r="B289" s="344"/>
      <c r="C289" s="344"/>
      <c r="D289" s="344"/>
      <c r="E289" s="344"/>
      <c r="F289" s="344"/>
      <c r="G289" s="344"/>
      <c r="H289" s="589"/>
      <c r="I289" s="566"/>
      <c r="J289" s="590"/>
      <c r="K289" s="443" t="s">
        <v>722</v>
      </c>
      <c r="L289" s="441" t="s">
        <v>464</v>
      </c>
      <c r="M289" s="666">
        <v>2222</v>
      </c>
    </row>
    <row r="290" spans="1:13" ht="18" customHeight="1">
      <c r="A290" s="340"/>
      <c r="B290" s="344"/>
      <c r="C290" s="344"/>
      <c r="D290" s="344"/>
      <c r="E290" s="344"/>
      <c r="F290" s="344"/>
      <c r="G290" s="344"/>
      <c r="H290" s="589"/>
      <c r="I290" s="566"/>
      <c r="J290" s="590"/>
      <c r="K290" s="443" t="s">
        <v>723</v>
      </c>
      <c r="L290" s="441" t="s">
        <v>464</v>
      </c>
      <c r="M290" s="666">
        <v>4246</v>
      </c>
    </row>
    <row r="291" spans="1:13" ht="18" customHeight="1">
      <c r="A291" s="340"/>
      <c r="B291" s="344"/>
      <c r="C291" s="344"/>
      <c r="D291" s="344"/>
      <c r="E291" s="344"/>
      <c r="F291" s="344"/>
      <c r="G291" s="344"/>
      <c r="H291" s="589"/>
      <c r="I291" s="566"/>
      <c r="J291" s="590"/>
      <c r="K291" s="443" t="s">
        <v>724</v>
      </c>
      <c r="L291" s="441" t="s">
        <v>464</v>
      </c>
      <c r="M291" s="666">
        <v>440</v>
      </c>
    </row>
    <row r="292" spans="1:13" ht="18" customHeight="1">
      <c r="A292" s="340"/>
      <c r="B292" s="344"/>
      <c r="C292" s="344"/>
      <c r="D292" s="344"/>
      <c r="E292" s="344"/>
      <c r="F292" s="344"/>
      <c r="G292" s="344"/>
      <c r="H292" s="589"/>
      <c r="I292" s="566"/>
      <c r="J292" s="590"/>
      <c r="K292" s="443" t="s">
        <v>725</v>
      </c>
      <c r="L292" s="441" t="s">
        <v>464</v>
      </c>
      <c r="M292" s="666">
        <v>5676</v>
      </c>
    </row>
    <row r="293" spans="1:13" ht="18" customHeight="1">
      <c r="A293" s="340"/>
      <c r="B293" s="344"/>
      <c r="C293" s="344"/>
      <c r="D293" s="344"/>
      <c r="E293" s="344"/>
      <c r="F293" s="344"/>
      <c r="G293" s="344"/>
      <c r="H293" s="589"/>
      <c r="I293" s="566"/>
      <c r="J293" s="590"/>
      <c r="K293" s="443" t="s">
        <v>726</v>
      </c>
      <c r="L293" s="461" t="s">
        <v>242</v>
      </c>
      <c r="M293" s="666">
        <v>1650</v>
      </c>
    </row>
    <row r="294" spans="1:13" ht="18" customHeight="1">
      <c r="A294" s="340"/>
      <c r="B294" s="344"/>
      <c r="C294" s="344"/>
      <c r="D294" s="344"/>
      <c r="E294" s="344"/>
      <c r="F294" s="344"/>
      <c r="G294" s="344"/>
      <c r="H294" s="589"/>
      <c r="I294" s="566"/>
      <c r="J294" s="590"/>
      <c r="K294" s="443" t="s">
        <v>727</v>
      </c>
      <c r="L294" s="461"/>
      <c r="M294" s="666">
        <f>SUM(M295:M296)</f>
        <v>14800</v>
      </c>
    </row>
    <row r="295" spans="1:13" ht="18" customHeight="1">
      <c r="A295" s="340"/>
      <c r="B295" s="344"/>
      <c r="C295" s="344"/>
      <c r="D295" s="344"/>
      <c r="E295" s="344"/>
      <c r="F295" s="344"/>
      <c r="G295" s="344"/>
      <c r="H295" s="589"/>
      <c r="I295" s="566"/>
      <c r="J295" s="590"/>
      <c r="K295" s="443" t="s">
        <v>728</v>
      </c>
      <c r="L295" s="461" t="s">
        <v>464</v>
      </c>
      <c r="M295" s="666">
        <v>10800</v>
      </c>
    </row>
    <row r="296" spans="1:13" ht="18" customHeight="1">
      <c r="A296" s="340"/>
      <c r="B296" s="344"/>
      <c r="C296" s="344"/>
      <c r="D296" s="344"/>
      <c r="E296" s="344"/>
      <c r="F296" s="344"/>
      <c r="G296" s="344"/>
      <c r="H296" s="589"/>
      <c r="I296" s="566"/>
      <c r="J296" s="590"/>
      <c r="K296" s="443" t="s">
        <v>729</v>
      </c>
      <c r="L296" s="461" t="s">
        <v>464</v>
      </c>
      <c r="M296" s="666">
        <v>4000</v>
      </c>
    </row>
    <row r="297" spans="1:13" ht="18" customHeight="1">
      <c r="A297" s="340"/>
      <c r="B297" s="344"/>
      <c r="C297" s="344"/>
      <c r="D297" s="344"/>
      <c r="E297" s="344"/>
      <c r="F297" s="344"/>
      <c r="G297" s="344"/>
      <c r="H297" s="589"/>
      <c r="I297" s="566"/>
      <c r="J297" s="590"/>
      <c r="K297" s="443" t="s">
        <v>730</v>
      </c>
      <c r="L297" s="461" t="s">
        <v>464</v>
      </c>
      <c r="M297" s="666">
        <v>4950</v>
      </c>
    </row>
    <row r="298" spans="1:13" ht="18" customHeight="1">
      <c r="A298" s="340"/>
      <c r="B298" s="344"/>
      <c r="C298" s="344"/>
      <c r="D298" s="344"/>
      <c r="E298" s="344"/>
      <c r="F298" s="344"/>
      <c r="G298" s="344"/>
      <c r="H298" s="589"/>
      <c r="I298" s="566"/>
      <c r="J298" s="590"/>
      <c r="K298" s="443" t="s">
        <v>731</v>
      </c>
      <c r="L298" s="461"/>
      <c r="M298" s="666">
        <f>SUM(M299:M300)</f>
        <v>640</v>
      </c>
    </row>
    <row r="299" spans="1:13" ht="18" customHeight="1">
      <c r="A299" s="340"/>
      <c r="B299" s="344"/>
      <c r="C299" s="344"/>
      <c r="D299" s="344"/>
      <c r="E299" s="344"/>
      <c r="F299" s="344"/>
      <c r="G299" s="344"/>
      <c r="H299" s="589"/>
      <c r="I299" s="566"/>
      <c r="J299" s="590"/>
      <c r="K299" s="443" t="s">
        <v>732</v>
      </c>
      <c r="L299" s="461" t="s">
        <v>242</v>
      </c>
      <c r="M299" s="666">
        <v>200</v>
      </c>
    </row>
    <row r="300" spans="1:13" ht="18" customHeight="1">
      <c r="A300" s="340"/>
      <c r="B300" s="344"/>
      <c r="C300" s="344"/>
      <c r="D300" s="344"/>
      <c r="E300" s="344"/>
      <c r="F300" s="344"/>
      <c r="G300" s="344"/>
      <c r="H300" s="592"/>
      <c r="I300" s="566"/>
      <c r="J300" s="595"/>
      <c r="K300" s="443" t="s">
        <v>733</v>
      </c>
      <c r="L300" s="461" t="s">
        <v>242</v>
      </c>
      <c r="M300" s="666">
        <v>440</v>
      </c>
    </row>
    <row r="301" spans="1:13" ht="18" customHeight="1">
      <c r="A301" s="340"/>
      <c r="B301" s="344"/>
      <c r="C301" s="344"/>
      <c r="D301" s="344"/>
      <c r="E301" s="344"/>
      <c r="F301" s="2356" t="s">
        <v>434</v>
      </c>
      <c r="G301" s="2356"/>
      <c r="H301" s="592">
        <f>H302+H304</f>
        <v>96150</v>
      </c>
      <c r="I301" s="571">
        <v>41900</v>
      </c>
      <c r="J301" s="595">
        <f>H301-I301</f>
        <v>54250</v>
      </c>
      <c r="K301" s="477"/>
      <c r="L301" s="478"/>
      <c r="M301" s="668"/>
    </row>
    <row r="302" spans="1:13" ht="18" customHeight="1">
      <c r="A302" s="340"/>
      <c r="B302" s="344"/>
      <c r="C302" s="344"/>
      <c r="D302" s="344"/>
      <c r="E302" s="344"/>
      <c r="F302" s="2049"/>
      <c r="G302" s="346" t="s">
        <v>435</v>
      </c>
      <c r="H302" s="589">
        <f>M302</f>
        <v>16500</v>
      </c>
      <c r="I302" s="570">
        <v>29200</v>
      </c>
      <c r="J302" s="590">
        <f>H302-I302</f>
        <v>-12700</v>
      </c>
      <c r="K302" s="456" t="s">
        <v>734</v>
      </c>
      <c r="L302" s="458"/>
      <c r="M302" s="1824">
        <f>M303</f>
        <v>16500</v>
      </c>
    </row>
    <row r="303" spans="1:13" ht="18" customHeight="1">
      <c r="A303" s="340"/>
      <c r="B303" s="344"/>
      <c r="C303" s="344"/>
      <c r="D303" s="344"/>
      <c r="E303" s="344"/>
      <c r="F303" s="2049"/>
      <c r="G303" s="344"/>
      <c r="H303" s="592"/>
      <c r="I303" s="565"/>
      <c r="J303" s="595"/>
      <c r="K303" s="433" t="s">
        <v>735</v>
      </c>
      <c r="L303" s="461" t="s">
        <v>242</v>
      </c>
      <c r="M303" s="1078">
        <v>16500</v>
      </c>
    </row>
    <row r="304" spans="1:13" ht="18" customHeight="1">
      <c r="A304" s="340"/>
      <c r="B304" s="344"/>
      <c r="C304" s="344"/>
      <c r="D304" s="344"/>
      <c r="E304" s="344"/>
      <c r="F304" s="2049"/>
      <c r="G304" s="346" t="s">
        <v>436</v>
      </c>
      <c r="H304" s="589">
        <f>M304</f>
        <v>79650</v>
      </c>
      <c r="I304" s="570">
        <v>12700</v>
      </c>
      <c r="J304" s="590">
        <f>H304-I304</f>
        <v>66950</v>
      </c>
      <c r="K304" s="456" t="s">
        <v>736</v>
      </c>
      <c r="L304" s="496"/>
      <c r="M304" s="1824">
        <f>M305+M306+M307+M308</f>
        <v>79650</v>
      </c>
    </row>
    <row r="305" spans="1:13" ht="18" customHeight="1">
      <c r="A305" s="340"/>
      <c r="B305" s="344"/>
      <c r="C305" s="344"/>
      <c r="D305" s="344"/>
      <c r="E305" s="344"/>
      <c r="F305" s="2049"/>
      <c r="G305" s="344"/>
      <c r="H305" s="589"/>
      <c r="I305" s="565"/>
      <c r="J305" s="590"/>
      <c r="K305" s="433" t="s">
        <v>737</v>
      </c>
      <c r="L305" s="497" t="s">
        <v>464</v>
      </c>
      <c r="M305" s="666">
        <v>1700</v>
      </c>
    </row>
    <row r="306" spans="1:13" ht="18" customHeight="1">
      <c r="A306" s="340"/>
      <c r="B306" s="344"/>
      <c r="C306" s="344"/>
      <c r="D306" s="344"/>
      <c r="E306" s="344"/>
      <c r="F306" s="2049"/>
      <c r="G306" s="344"/>
      <c r="H306" s="589"/>
      <c r="I306" s="565"/>
      <c r="J306" s="590"/>
      <c r="K306" s="433" t="s">
        <v>738</v>
      </c>
      <c r="L306" s="497" t="s">
        <v>464</v>
      </c>
      <c r="M306" s="666">
        <v>11000</v>
      </c>
    </row>
    <row r="307" spans="1:13" ht="18" customHeight="1">
      <c r="A307" s="340"/>
      <c r="B307" s="344"/>
      <c r="C307" s="344"/>
      <c r="D307" s="344"/>
      <c r="E307" s="344"/>
      <c r="F307" s="2049"/>
      <c r="G307" s="344"/>
      <c r="H307" s="589"/>
      <c r="I307" s="565"/>
      <c r="J307" s="590"/>
      <c r="K307" s="433" t="s">
        <v>739</v>
      </c>
      <c r="L307" s="497" t="s">
        <v>464</v>
      </c>
      <c r="M307" s="666">
        <v>12500</v>
      </c>
    </row>
    <row r="308" spans="1:13" ht="18" customHeight="1">
      <c r="A308" s="340"/>
      <c r="B308" s="344"/>
      <c r="C308" s="344"/>
      <c r="D308" s="344"/>
      <c r="E308" s="344"/>
      <c r="F308" s="2049"/>
      <c r="G308" s="344"/>
      <c r="H308" s="592"/>
      <c r="I308" s="565"/>
      <c r="J308" s="595"/>
      <c r="K308" s="433" t="s">
        <v>740</v>
      </c>
      <c r="L308" s="497" t="s">
        <v>464</v>
      </c>
      <c r="M308" s="666">
        <v>54450</v>
      </c>
    </row>
    <row r="309" spans="1:13" ht="18" customHeight="1">
      <c r="A309" s="376"/>
      <c r="B309" s="377"/>
      <c r="C309" s="378"/>
      <c r="D309" s="378"/>
      <c r="E309" s="349" t="s">
        <v>437</v>
      </c>
      <c r="F309" s="349"/>
      <c r="G309" s="379"/>
      <c r="H309" s="592">
        <f>H310+H320</f>
        <v>11040</v>
      </c>
      <c r="I309" s="571">
        <v>10040</v>
      </c>
      <c r="J309" s="595">
        <f>H309-I309</f>
        <v>1000</v>
      </c>
      <c r="K309" s="498"/>
      <c r="L309" s="499"/>
      <c r="M309" s="668"/>
    </row>
    <row r="310" spans="1:13" ht="18" customHeight="1">
      <c r="A310" s="340"/>
      <c r="B310" s="344"/>
      <c r="C310" s="344"/>
      <c r="D310" s="344"/>
      <c r="E310" s="344"/>
      <c r="F310" s="2358" t="s">
        <v>438</v>
      </c>
      <c r="G310" s="2358"/>
      <c r="H310" s="592">
        <f>H311+H314</f>
        <v>4240</v>
      </c>
      <c r="I310" s="564">
        <v>4240</v>
      </c>
      <c r="J310" s="595">
        <f>H310-I310</f>
        <v>0</v>
      </c>
      <c r="K310" s="480"/>
      <c r="L310" s="430"/>
      <c r="M310" s="666"/>
    </row>
    <row r="311" spans="1:13" ht="18" customHeight="1">
      <c r="A311" s="340"/>
      <c r="B311" s="344"/>
      <c r="C311" s="344"/>
      <c r="D311" s="344"/>
      <c r="E311" s="344"/>
      <c r="F311" s="380"/>
      <c r="G311" s="381" t="s">
        <v>439</v>
      </c>
      <c r="H311" s="589">
        <f>M311</f>
        <v>2240</v>
      </c>
      <c r="I311" s="565">
        <v>2240</v>
      </c>
      <c r="J311" s="594">
        <f>H311-I311</f>
        <v>0</v>
      </c>
      <c r="K311" s="444" t="s">
        <v>741</v>
      </c>
      <c r="L311" s="441"/>
      <c r="M311" s="1827">
        <f>M312+M313</f>
        <v>2240</v>
      </c>
    </row>
    <row r="312" spans="1:13" ht="18" customHeight="1">
      <c r="A312" s="340"/>
      <c r="B312" s="344"/>
      <c r="C312" s="344"/>
      <c r="D312" s="344"/>
      <c r="E312" s="344"/>
      <c r="F312" s="380"/>
      <c r="G312" s="381"/>
      <c r="H312" s="589"/>
      <c r="I312" s="565"/>
      <c r="J312" s="590"/>
      <c r="K312" s="443" t="s">
        <v>742</v>
      </c>
      <c r="L312" s="441" t="s">
        <v>464</v>
      </c>
      <c r="M312" s="666">
        <v>1440</v>
      </c>
    </row>
    <row r="313" spans="1:13" ht="18" customHeight="1">
      <c r="A313" s="340"/>
      <c r="B313" s="344"/>
      <c r="C313" s="344"/>
      <c r="D313" s="344"/>
      <c r="E313" s="344"/>
      <c r="F313" s="380"/>
      <c r="G313" s="381"/>
      <c r="H313" s="592"/>
      <c r="I313" s="565"/>
      <c r="J313" s="595"/>
      <c r="K313" s="443" t="s">
        <v>743</v>
      </c>
      <c r="L313" s="441" t="s">
        <v>242</v>
      </c>
      <c r="M313" s="666">
        <v>800</v>
      </c>
    </row>
    <row r="314" spans="1:13" ht="18" customHeight="1">
      <c r="A314" s="340"/>
      <c r="B314" s="344"/>
      <c r="C314" s="344"/>
      <c r="D314" s="344"/>
      <c r="E314" s="344"/>
      <c r="F314" s="380"/>
      <c r="G314" s="382" t="s">
        <v>440</v>
      </c>
      <c r="H314" s="589">
        <f>M314</f>
        <v>2000</v>
      </c>
      <c r="I314" s="573">
        <v>2000</v>
      </c>
      <c r="J314" s="590">
        <f>H314-I314</f>
        <v>0</v>
      </c>
      <c r="K314" s="500" t="s">
        <v>744</v>
      </c>
      <c r="L314" s="501"/>
      <c r="M314" s="1827">
        <f>M315</f>
        <v>2000</v>
      </c>
    </row>
    <row r="315" spans="1:13" ht="18" customHeight="1">
      <c r="A315" s="340"/>
      <c r="B315" s="344"/>
      <c r="C315" s="344"/>
      <c r="D315" s="344"/>
      <c r="E315" s="344"/>
      <c r="F315" s="380"/>
      <c r="G315" s="381"/>
      <c r="H315" s="589"/>
      <c r="I315" s="574"/>
      <c r="J315" s="590"/>
      <c r="K315" s="502" t="s">
        <v>745</v>
      </c>
      <c r="L315" s="503"/>
      <c r="M315" s="1824">
        <f>M316+M317+M318+M319</f>
        <v>2000</v>
      </c>
    </row>
    <row r="316" spans="1:13" ht="18" customHeight="1">
      <c r="A316" s="340"/>
      <c r="B316" s="344"/>
      <c r="C316" s="344"/>
      <c r="D316" s="344"/>
      <c r="E316" s="344"/>
      <c r="F316" s="380"/>
      <c r="G316" s="381"/>
      <c r="H316" s="589"/>
      <c r="I316" s="575"/>
      <c r="J316" s="590"/>
      <c r="K316" s="450" t="s">
        <v>746</v>
      </c>
      <c r="L316" s="441" t="s">
        <v>242</v>
      </c>
      <c r="M316" s="666">
        <v>600</v>
      </c>
    </row>
    <row r="317" spans="1:13" ht="18" customHeight="1">
      <c r="A317" s="340"/>
      <c r="B317" s="344"/>
      <c r="C317" s="344"/>
      <c r="D317" s="344"/>
      <c r="E317" s="344"/>
      <c r="F317" s="380"/>
      <c r="G317" s="381"/>
      <c r="H317" s="589"/>
      <c r="I317" s="575"/>
      <c r="J317" s="590"/>
      <c r="K317" s="450" t="s">
        <v>747</v>
      </c>
      <c r="L317" s="441" t="s">
        <v>464</v>
      </c>
      <c r="M317" s="666">
        <v>100</v>
      </c>
    </row>
    <row r="318" spans="1:13" ht="18" customHeight="1">
      <c r="A318" s="340"/>
      <c r="B318" s="344"/>
      <c r="C318" s="344"/>
      <c r="D318" s="344"/>
      <c r="E318" s="344"/>
      <c r="F318" s="380"/>
      <c r="G318" s="381"/>
      <c r="H318" s="589"/>
      <c r="I318" s="574"/>
      <c r="J318" s="590"/>
      <c r="K318" s="450" t="s">
        <v>748</v>
      </c>
      <c r="L318" s="441" t="s">
        <v>464</v>
      </c>
      <c r="M318" s="666">
        <v>1000</v>
      </c>
    </row>
    <row r="319" spans="1:13" ht="18" customHeight="1">
      <c r="A319" s="340"/>
      <c r="B319" s="344"/>
      <c r="C319" s="344"/>
      <c r="D319" s="344"/>
      <c r="E319" s="344"/>
      <c r="F319" s="380"/>
      <c r="G319" s="381"/>
      <c r="H319" s="592"/>
      <c r="I319" s="574"/>
      <c r="J319" s="595"/>
      <c r="K319" s="504" t="s">
        <v>749</v>
      </c>
      <c r="L319" s="441" t="s">
        <v>464</v>
      </c>
      <c r="M319" s="666">
        <v>300</v>
      </c>
    </row>
    <row r="320" spans="1:13" ht="18" customHeight="1">
      <c r="A320" s="340"/>
      <c r="B320" s="344"/>
      <c r="C320" s="344"/>
      <c r="D320" s="344"/>
      <c r="E320" s="344"/>
      <c r="F320" s="2359" t="s">
        <v>441</v>
      </c>
      <c r="G320" s="2359"/>
      <c r="H320" s="589">
        <f>H321</f>
        <v>6800</v>
      </c>
      <c r="I320" s="576">
        <v>5800</v>
      </c>
      <c r="J320" s="590">
        <f>H320-I320</f>
        <v>1000</v>
      </c>
      <c r="K320" s="505"/>
      <c r="L320" s="506"/>
      <c r="M320" s="1534"/>
    </row>
    <row r="321" spans="1:25" ht="18" customHeight="1">
      <c r="A321" s="340"/>
      <c r="B321" s="344"/>
      <c r="C321" s="344"/>
      <c r="D321" s="344"/>
      <c r="E321" s="344"/>
      <c r="F321" s="383"/>
      <c r="G321" s="384" t="s">
        <v>442</v>
      </c>
      <c r="H321" s="593">
        <f>M321</f>
        <v>6800</v>
      </c>
      <c r="I321" s="574">
        <v>5800</v>
      </c>
      <c r="J321" s="594">
        <f>H321-I321</f>
        <v>1000</v>
      </c>
      <c r="K321" s="507" t="s">
        <v>750</v>
      </c>
      <c r="L321" s="508"/>
      <c r="M321" s="1827">
        <f>M322+M324+M323+M325+M326+M327+M328+M329+M330+M334+M335</f>
        <v>6800</v>
      </c>
    </row>
    <row r="322" spans="1:25" ht="18" customHeight="1">
      <c r="A322" s="340"/>
      <c r="B322" s="344"/>
      <c r="C322" s="344"/>
      <c r="D322" s="344"/>
      <c r="E322" s="344"/>
      <c r="F322" s="385"/>
      <c r="G322" s="386"/>
      <c r="H322" s="589"/>
      <c r="I322" s="574"/>
      <c r="J322" s="590"/>
      <c r="K322" s="439" t="s">
        <v>751</v>
      </c>
      <c r="L322" s="508" t="s">
        <v>464</v>
      </c>
      <c r="M322" s="666">
        <v>200</v>
      </c>
    </row>
    <row r="323" spans="1:25" ht="18" customHeight="1">
      <c r="A323" s="340"/>
      <c r="B323" s="344"/>
      <c r="C323" s="344"/>
      <c r="D323" s="344"/>
      <c r="E323" s="344"/>
      <c r="F323" s="385"/>
      <c r="G323" s="386"/>
      <c r="H323" s="589"/>
      <c r="I323" s="574"/>
      <c r="J323" s="590"/>
      <c r="K323" s="439" t="s">
        <v>752</v>
      </c>
      <c r="L323" s="508" t="s">
        <v>464</v>
      </c>
      <c r="M323" s="666">
        <v>500</v>
      </c>
    </row>
    <row r="324" spans="1:25" ht="18" customHeight="1">
      <c r="A324" s="340"/>
      <c r="B324" s="344"/>
      <c r="C324" s="344"/>
      <c r="D324" s="344"/>
      <c r="E324" s="344"/>
      <c r="F324" s="385"/>
      <c r="G324" s="386"/>
      <c r="H324" s="589"/>
      <c r="I324" s="574"/>
      <c r="J324" s="590"/>
      <c r="K324" s="439" t="s">
        <v>753</v>
      </c>
      <c r="L324" s="508" t="s">
        <v>464</v>
      </c>
      <c r="M324" s="666">
        <v>700</v>
      </c>
    </row>
    <row r="325" spans="1:25" ht="18" customHeight="1">
      <c r="A325" s="340"/>
      <c r="B325" s="344"/>
      <c r="C325" s="344"/>
      <c r="D325" s="344"/>
      <c r="E325" s="344"/>
      <c r="F325" s="385"/>
      <c r="G325" s="386"/>
      <c r="H325" s="589"/>
      <c r="I325" s="574"/>
      <c r="J325" s="590"/>
      <c r="K325" s="439" t="s">
        <v>754</v>
      </c>
      <c r="L325" s="508" t="s">
        <v>464</v>
      </c>
      <c r="M325" s="666">
        <v>900</v>
      </c>
    </row>
    <row r="326" spans="1:25" ht="18" customHeight="1">
      <c r="A326" s="340"/>
      <c r="B326" s="344"/>
      <c r="C326" s="344"/>
      <c r="D326" s="344"/>
      <c r="E326" s="344"/>
      <c r="F326" s="385"/>
      <c r="G326" s="386"/>
      <c r="H326" s="589"/>
      <c r="I326" s="574"/>
      <c r="J326" s="590"/>
      <c r="K326" s="439" t="s">
        <v>755</v>
      </c>
      <c r="L326" s="508" t="s">
        <v>242</v>
      </c>
      <c r="M326" s="666">
        <v>400</v>
      </c>
    </row>
    <row r="327" spans="1:25" ht="18" customHeight="1">
      <c r="A327" s="340"/>
      <c r="B327" s="344"/>
      <c r="C327" s="344"/>
      <c r="D327" s="344"/>
      <c r="E327" s="344"/>
      <c r="F327" s="385"/>
      <c r="G327" s="386"/>
      <c r="H327" s="589"/>
      <c r="I327" s="574"/>
      <c r="J327" s="590"/>
      <c r="K327" s="439" t="s">
        <v>756</v>
      </c>
      <c r="L327" s="508" t="s">
        <v>464</v>
      </c>
      <c r="M327" s="666">
        <v>300</v>
      </c>
    </row>
    <row r="328" spans="1:25" ht="18" customHeight="1">
      <c r="A328" s="340"/>
      <c r="B328" s="344"/>
      <c r="C328" s="344"/>
      <c r="D328" s="344"/>
      <c r="E328" s="344"/>
      <c r="F328" s="385"/>
      <c r="G328" s="386"/>
      <c r="H328" s="589"/>
      <c r="I328" s="574"/>
      <c r="J328" s="590"/>
      <c r="K328" s="439" t="s">
        <v>757</v>
      </c>
      <c r="L328" s="508" t="s">
        <v>464</v>
      </c>
      <c r="M328" s="666">
        <v>1000</v>
      </c>
    </row>
    <row r="329" spans="1:25" ht="18" customHeight="1">
      <c r="A329" s="340"/>
      <c r="B329" s="344"/>
      <c r="C329" s="344"/>
      <c r="D329" s="344"/>
      <c r="E329" s="344"/>
      <c r="F329" s="385"/>
      <c r="G329" s="386"/>
      <c r="H329" s="589"/>
      <c r="I329" s="574"/>
      <c r="J329" s="590"/>
      <c r="K329" s="439" t="s">
        <v>758</v>
      </c>
      <c r="L329" s="508" t="s">
        <v>464</v>
      </c>
      <c r="M329" s="666">
        <v>300</v>
      </c>
    </row>
    <row r="330" spans="1:25" ht="18" customHeight="1">
      <c r="A330" s="340"/>
      <c r="B330" s="344"/>
      <c r="C330" s="344"/>
      <c r="D330" s="344"/>
      <c r="E330" s="344"/>
      <c r="F330" s="383"/>
      <c r="G330" s="386"/>
      <c r="H330" s="589"/>
      <c r="I330" s="574"/>
      <c r="J330" s="590"/>
      <c r="K330" s="462" t="s">
        <v>759</v>
      </c>
      <c r="L330" s="508" t="s">
        <v>464</v>
      </c>
      <c r="M330" s="666">
        <f>SUM(M331:M333)</f>
        <v>1000</v>
      </c>
    </row>
    <row r="331" spans="1:25" ht="18" customHeight="1">
      <c r="A331" s="340"/>
      <c r="B331" s="344"/>
      <c r="C331" s="344"/>
      <c r="D331" s="344"/>
      <c r="E331" s="344"/>
      <c r="F331" s="383"/>
      <c r="G331" s="386"/>
      <c r="H331" s="589"/>
      <c r="I331" s="574"/>
      <c r="J331" s="590"/>
      <c r="K331" s="462" t="s">
        <v>760</v>
      </c>
      <c r="L331" s="508" t="s">
        <v>464</v>
      </c>
      <c r="M331" s="666">
        <v>200</v>
      </c>
    </row>
    <row r="332" spans="1:25" ht="18" customHeight="1">
      <c r="A332" s="340"/>
      <c r="B332" s="344"/>
      <c r="C332" s="344"/>
      <c r="D332" s="344"/>
      <c r="E332" s="344"/>
      <c r="F332" s="383"/>
      <c r="G332" s="386"/>
      <c r="H332" s="589"/>
      <c r="I332" s="574"/>
      <c r="J332" s="590"/>
      <c r="K332" s="462" t="s">
        <v>761</v>
      </c>
      <c r="L332" s="508" t="s">
        <v>464</v>
      </c>
      <c r="M332" s="666">
        <v>400</v>
      </c>
    </row>
    <row r="333" spans="1:25" ht="18" customHeight="1">
      <c r="A333" s="340"/>
      <c r="B333" s="344"/>
      <c r="C333" s="344"/>
      <c r="D333" s="344"/>
      <c r="E333" s="344"/>
      <c r="F333" s="383"/>
      <c r="G333" s="386"/>
      <c r="H333" s="589"/>
      <c r="I333" s="574"/>
      <c r="J333" s="590"/>
      <c r="K333" s="450" t="s">
        <v>762</v>
      </c>
      <c r="L333" s="508" t="s">
        <v>464</v>
      </c>
      <c r="M333" s="666">
        <v>400</v>
      </c>
    </row>
    <row r="334" spans="1:25" ht="18" customHeight="1">
      <c r="A334" s="340"/>
      <c r="B334" s="344"/>
      <c r="C334" s="344"/>
      <c r="D334" s="344"/>
      <c r="E334" s="344"/>
      <c r="F334" s="383"/>
      <c r="G334" s="386"/>
      <c r="H334" s="589"/>
      <c r="I334" s="574"/>
      <c r="J334" s="590"/>
      <c r="K334" s="509" t="s">
        <v>963</v>
      </c>
      <c r="L334" s="508" t="s">
        <v>464</v>
      </c>
      <c r="M334" s="666">
        <v>500</v>
      </c>
    </row>
    <row r="335" spans="1:25" ht="18" customHeight="1">
      <c r="A335" s="340"/>
      <c r="B335" s="344"/>
      <c r="C335" s="344"/>
      <c r="D335" s="344"/>
      <c r="E335" s="344"/>
      <c r="F335" s="383"/>
      <c r="G335" s="386"/>
      <c r="H335" s="592"/>
      <c r="I335" s="574"/>
      <c r="J335" s="595"/>
      <c r="K335" s="509" t="s">
        <v>964</v>
      </c>
      <c r="L335" s="508" t="s">
        <v>464</v>
      </c>
      <c r="M335" s="666">
        <v>1000</v>
      </c>
    </row>
    <row r="336" spans="1:25" ht="18" customHeight="1">
      <c r="A336" s="340"/>
      <c r="B336" s="344"/>
      <c r="C336" s="341" t="s">
        <v>359</v>
      </c>
      <c r="D336" s="342"/>
      <c r="E336" s="342"/>
      <c r="F336" s="342"/>
      <c r="G336" s="343"/>
      <c r="H336" s="600">
        <f>H337</f>
        <v>12174716</v>
      </c>
      <c r="I336" s="563">
        <v>10934833</v>
      </c>
      <c r="J336" s="667">
        <f>H336-I336</f>
        <v>1239883</v>
      </c>
      <c r="K336" s="510" t="s">
        <v>763</v>
      </c>
      <c r="L336" s="510"/>
      <c r="M336" s="668"/>
      <c r="N336" s="609" t="s">
        <v>954</v>
      </c>
      <c r="O336" s="610" t="s">
        <v>955</v>
      </c>
      <c r="P336" s="611"/>
      <c r="Q336" s="611"/>
      <c r="R336" s="611"/>
      <c r="S336" s="611"/>
      <c r="T336" s="611"/>
      <c r="U336" s="389"/>
      <c r="V336" s="389"/>
      <c r="W336" s="389"/>
      <c r="X336" s="389"/>
      <c r="Y336" s="389"/>
    </row>
    <row r="337" spans="1:25" ht="18" customHeight="1" thickBot="1">
      <c r="A337" s="345"/>
      <c r="B337" s="344"/>
      <c r="C337" s="387"/>
      <c r="D337" s="388" t="s">
        <v>360</v>
      </c>
      <c r="E337" s="342"/>
      <c r="F337" s="342"/>
      <c r="G337" s="343"/>
      <c r="H337" s="600">
        <f>H338</f>
        <v>12174716</v>
      </c>
      <c r="I337" s="562">
        <v>10934833</v>
      </c>
      <c r="J337" s="667">
        <f>H337-I337</f>
        <v>1239883</v>
      </c>
      <c r="K337" s="494"/>
      <c r="L337" s="495"/>
      <c r="M337" s="1078"/>
      <c r="N337" s="612"/>
      <c r="O337" s="613"/>
      <c r="P337" s="614"/>
      <c r="Q337" s="614"/>
      <c r="R337" s="614"/>
      <c r="S337" s="615"/>
      <c r="T337" s="616"/>
      <c r="U337" s="617"/>
      <c r="V337" s="617"/>
      <c r="W337" s="617"/>
      <c r="X337" s="617"/>
      <c r="Y337" s="617"/>
    </row>
    <row r="338" spans="1:25" ht="18" customHeight="1">
      <c r="A338" s="340"/>
      <c r="B338" s="344"/>
      <c r="C338" s="389"/>
      <c r="D338" s="390"/>
      <c r="E338" s="341" t="s">
        <v>443</v>
      </c>
      <c r="F338" s="342"/>
      <c r="G338" s="343"/>
      <c r="H338" s="600">
        <f>H339+H547+H549</f>
        <v>12174716</v>
      </c>
      <c r="I338" s="563">
        <v>10934833</v>
      </c>
      <c r="J338" s="667">
        <f>H338-I338</f>
        <v>1239883</v>
      </c>
      <c r="K338" s="510"/>
      <c r="L338" s="510"/>
      <c r="M338" s="668"/>
      <c r="N338" s="618" t="s">
        <v>956</v>
      </c>
      <c r="O338" s="2346" t="s">
        <v>957</v>
      </c>
      <c r="P338" s="2347"/>
      <c r="Q338" s="2346" t="s">
        <v>958</v>
      </c>
      <c r="R338" s="2348"/>
      <c r="S338" s="2348"/>
      <c r="T338" s="2349"/>
      <c r="U338" s="389"/>
      <c r="V338" s="389"/>
      <c r="W338" s="389"/>
      <c r="X338" s="389"/>
      <c r="Y338" s="389"/>
    </row>
    <row r="339" spans="1:25" ht="18" customHeight="1" thickBot="1">
      <c r="A339" s="340"/>
      <c r="B339" s="350"/>
      <c r="C339" s="350"/>
      <c r="D339" s="350"/>
      <c r="E339" s="350"/>
      <c r="F339" s="391" t="s">
        <v>444</v>
      </c>
      <c r="G339" s="392"/>
      <c r="H339" s="592">
        <f>H340+H498+H538</f>
        <v>10291836</v>
      </c>
      <c r="I339" s="564">
        <v>9163300</v>
      </c>
      <c r="J339" s="595">
        <f>H339-I339</f>
        <v>1128536</v>
      </c>
      <c r="K339" s="511"/>
      <c r="L339" s="512"/>
      <c r="M339" s="668"/>
      <c r="N339" s="619">
        <v>0.03</v>
      </c>
      <c r="O339" s="2350">
        <v>1.4E-2</v>
      </c>
      <c r="P339" s="2351"/>
      <c r="Q339" s="2350">
        <f>O339+N339</f>
        <v>4.3999999999999997E-2</v>
      </c>
      <c r="R339" s="2352"/>
      <c r="S339" s="2352"/>
      <c r="T339" s="2353"/>
      <c r="U339" s="389"/>
      <c r="V339" s="389"/>
      <c r="W339" s="389"/>
      <c r="X339" s="389"/>
      <c r="Y339" s="389"/>
    </row>
    <row r="340" spans="1:25" ht="18" customHeight="1">
      <c r="A340" s="393"/>
      <c r="B340" s="394"/>
      <c r="C340" s="394"/>
      <c r="D340" s="394"/>
      <c r="E340" s="394"/>
      <c r="F340" s="395"/>
      <c r="G340" s="396" t="s">
        <v>445</v>
      </c>
      <c r="H340" s="589">
        <f>M340</f>
        <v>4844012</v>
      </c>
      <c r="I340" s="556">
        <v>4562024</v>
      </c>
      <c r="J340" s="590">
        <f>H340-I340</f>
        <v>281988</v>
      </c>
      <c r="K340" s="513"/>
      <c r="L340" s="514"/>
      <c r="M340" s="1824">
        <f>M341+M415</f>
        <v>4844012</v>
      </c>
      <c r="N340" s="620"/>
      <c r="O340" s="620"/>
      <c r="P340" s="620"/>
      <c r="Q340" s="621"/>
      <c r="R340" s="621"/>
      <c r="S340" s="620"/>
      <c r="T340" s="622"/>
      <c r="U340" s="623"/>
      <c r="V340" s="623"/>
      <c r="W340" s="623"/>
      <c r="X340" s="624"/>
      <c r="Y340" s="624"/>
    </row>
    <row r="341" spans="1:25" ht="18" customHeight="1">
      <c r="A341" s="393"/>
      <c r="B341" s="394"/>
      <c r="C341" s="394"/>
      <c r="D341" s="394"/>
      <c r="E341" s="394"/>
      <c r="F341" s="395"/>
      <c r="G341" s="397"/>
      <c r="H341" s="589"/>
      <c r="I341" s="556"/>
      <c r="J341" s="590"/>
      <c r="K341" s="513" t="s">
        <v>764</v>
      </c>
      <c r="L341" s="514"/>
      <c r="M341" s="1824">
        <f>M342+M346+M350+M354+M358+M362+M366+M370+M372+M376+M382+M389+M393+M395+M398+M401+M403+M405++M411</f>
        <v>3020876</v>
      </c>
      <c r="N341" s="514"/>
      <c r="O341" s="625"/>
      <c r="P341" s="436"/>
      <c r="Q341" s="626"/>
      <c r="R341" s="626"/>
      <c r="S341" s="436"/>
      <c r="T341" s="622"/>
      <c r="U341" s="623"/>
      <c r="V341" s="623"/>
      <c r="W341" s="623"/>
      <c r="X341" s="624"/>
      <c r="Y341" s="624"/>
    </row>
    <row r="342" spans="1:25" ht="18" customHeight="1" thickBot="1">
      <c r="A342" s="393"/>
      <c r="B342" s="394"/>
      <c r="C342" s="394"/>
      <c r="D342" s="394"/>
      <c r="E342" s="394"/>
      <c r="F342" s="395"/>
      <c r="G342" s="397"/>
      <c r="H342" s="589"/>
      <c r="I342" s="556"/>
      <c r="J342" s="590"/>
      <c r="K342" s="513" t="s">
        <v>765</v>
      </c>
      <c r="L342" s="514"/>
      <c r="M342" s="1824">
        <f>SUM(M343:M345)</f>
        <v>737473</v>
      </c>
      <c r="N342" s="514"/>
      <c r="O342" s="625"/>
      <c r="P342" s="436"/>
      <c r="Q342" s="626"/>
      <c r="R342" s="626"/>
      <c r="S342" s="627"/>
      <c r="T342" s="622"/>
      <c r="U342" s="623"/>
      <c r="V342" s="623"/>
      <c r="W342" s="623"/>
      <c r="X342" s="624"/>
      <c r="Y342" s="624"/>
    </row>
    <row r="343" spans="1:25" ht="18" customHeight="1">
      <c r="A343" s="393"/>
      <c r="B343" s="394"/>
      <c r="C343" s="394"/>
      <c r="D343" s="394"/>
      <c r="E343" s="394"/>
      <c r="F343" s="395"/>
      <c r="G343" s="397"/>
      <c r="H343" s="589"/>
      <c r="I343" s="556"/>
      <c r="J343" s="590"/>
      <c r="K343" s="425" t="s">
        <v>766</v>
      </c>
      <c r="L343" s="515" t="s">
        <v>464</v>
      </c>
      <c r="M343" s="666">
        <f>T343/1000</f>
        <v>85500</v>
      </c>
      <c r="N343" s="628">
        <v>85500000</v>
      </c>
      <c r="O343" s="629">
        <v>1</v>
      </c>
      <c r="P343" s="629"/>
      <c r="Q343" s="629"/>
      <c r="R343" s="629"/>
      <c r="S343" s="629"/>
      <c r="T343" s="630">
        <f>ROUNDUP(N343*O343,-3)</f>
        <v>85500000</v>
      </c>
      <c r="U343" s="631"/>
      <c r="V343" s="624"/>
      <c r="W343" s="624"/>
      <c r="X343" s="624"/>
      <c r="Y343" s="624"/>
    </row>
    <row r="344" spans="1:25" ht="18" customHeight="1">
      <c r="A344" s="393"/>
      <c r="B344" s="394"/>
      <c r="C344" s="394"/>
      <c r="D344" s="394"/>
      <c r="E344" s="394"/>
      <c r="F344" s="395"/>
      <c r="G344" s="397"/>
      <c r="H344" s="589"/>
      <c r="I344" s="556"/>
      <c r="J344" s="590"/>
      <c r="K344" s="425" t="s">
        <v>767</v>
      </c>
      <c r="L344" s="515" t="s">
        <v>464</v>
      </c>
      <c r="M344" s="666">
        <f t="shared" ref="M344:M345" si="5">T344/1000</f>
        <v>147700</v>
      </c>
      <c r="N344" s="632">
        <f>ROUNDUP(71698750/12+(71698750/12*N339),-1)</f>
        <v>6154150</v>
      </c>
      <c r="O344" s="633">
        <v>2</v>
      </c>
      <c r="P344" s="633">
        <v>12</v>
      </c>
      <c r="Q344" s="633"/>
      <c r="R344" s="633"/>
      <c r="S344" s="633"/>
      <c r="T344" s="634">
        <f>ROUNDUP(N344*O344*P344,-3)</f>
        <v>147700000</v>
      </c>
      <c r="U344" s="631" t="s">
        <v>959</v>
      </c>
      <c r="V344" s="624"/>
      <c r="W344" s="624"/>
      <c r="X344" s="624"/>
      <c r="Y344" s="624"/>
    </row>
    <row r="345" spans="1:25" ht="18" customHeight="1">
      <c r="A345" s="393"/>
      <c r="B345" s="394"/>
      <c r="C345" s="394"/>
      <c r="D345" s="394"/>
      <c r="E345" s="394"/>
      <c r="F345" s="395"/>
      <c r="G345" s="397"/>
      <c r="H345" s="589"/>
      <c r="I345" s="556"/>
      <c r="J345" s="590"/>
      <c r="K345" s="425" t="s">
        <v>768</v>
      </c>
      <c r="L345" s="515" t="s">
        <v>464</v>
      </c>
      <c r="M345" s="666">
        <f t="shared" si="5"/>
        <v>504273</v>
      </c>
      <c r="N345" s="632">
        <f>ROUNDUP(76298850/12+(76298850/12*N339),-1)</f>
        <v>6548990</v>
      </c>
      <c r="O345" s="633">
        <v>7</v>
      </c>
      <c r="P345" s="633">
        <v>11</v>
      </c>
      <c r="Q345" s="633"/>
      <c r="R345" s="633"/>
      <c r="S345" s="633"/>
      <c r="T345" s="634">
        <f>ROUNDUP(N345*O345*P345,-3)</f>
        <v>504273000</v>
      </c>
      <c r="U345" s="631" t="s">
        <v>959</v>
      </c>
      <c r="V345" s="624"/>
      <c r="W345" s="624"/>
      <c r="X345" s="624"/>
      <c r="Y345" s="624"/>
    </row>
    <row r="346" spans="1:25" ht="18" customHeight="1">
      <c r="A346" s="393"/>
      <c r="B346" s="394"/>
      <c r="C346" s="394"/>
      <c r="D346" s="394"/>
      <c r="E346" s="394"/>
      <c r="F346" s="395"/>
      <c r="G346" s="397"/>
      <c r="H346" s="589"/>
      <c r="I346" s="556"/>
      <c r="J346" s="590"/>
      <c r="K346" s="513" t="s">
        <v>769</v>
      </c>
      <c r="L346" s="514"/>
      <c r="M346" s="1824">
        <f>SUM(M347:M349)</f>
        <v>870736</v>
      </c>
      <c r="N346" s="2343" t="s">
        <v>960</v>
      </c>
      <c r="O346" s="2344"/>
      <c r="P346" s="2344"/>
      <c r="Q346" s="2344"/>
      <c r="R346" s="2344"/>
      <c r="S346" s="2344"/>
      <c r="T346" s="2345"/>
      <c r="U346" s="631" t="s">
        <v>961</v>
      </c>
      <c r="V346" s="624"/>
      <c r="W346" s="624"/>
      <c r="X346" s="624"/>
      <c r="Y346" s="624"/>
    </row>
    <row r="347" spans="1:25" ht="18" customHeight="1">
      <c r="A347" s="393"/>
      <c r="B347" s="394"/>
      <c r="C347" s="394"/>
      <c r="D347" s="394"/>
      <c r="E347" s="394"/>
      <c r="F347" s="395"/>
      <c r="G347" s="397"/>
      <c r="H347" s="589"/>
      <c r="I347" s="556"/>
      <c r="J347" s="590"/>
      <c r="K347" s="435" t="s">
        <v>770</v>
      </c>
      <c r="L347" s="514" t="s">
        <v>464</v>
      </c>
      <c r="M347" s="666">
        <f>T347/1000</f>
        <v>336923</v>
      </c>
      <c r="N347" s="632">
        <f>ROUNDUP(U347+(U347*$Q$339),-1)</f>
        <v>2356100</v>
      </c>
      <c r="O347" s="633">
        <v>13</v>
      </c>
      <c r="P347" s="633">
        <v>11</v>
      </c>
      <c r="Q347" s="633"/>
      <c r="R347" s="633"/>
      <c r="S347" s="633"/>
      <c r="T347" s="634">
        <f>ROUNDUP(N347*O347*P347,-3)</f>
        <v>336923000</v>
      </c>
      <c r="U347" s="631">
        <v>2256800</v>
      </c>
      <c r="V347" s="624"/>
      <c r="W347" s="624"/>
      <c r="X347" s="624"/>
      <c r="Y347" s="624"/>
    </row>
    <row r="348" spans="1:25" ht="18" customHeight="1">
      <c r="A348" s="393"/>
      <c r="B348" s="394"/>
      <c r="C348" s="394"/>
      <c r="D348" s="394"/>
      <c r="E348" s="394"/>
      <c r="F348" s="395"/>
      <c r="G348" s="397"/>
      <c r="H348" s="589"/>
      <c r="I348" s="556"/>
      <c r="J348" s="590"/>
      <c r="K348" s="435" t="s">
        <v>771</v>
      </c>
      <c r="L348" s="514" t="s">
        <v>464</v>
      </c>
      <c r="M348" s="666">
        <f t="shared" ref="M348:M349" si="6">T348/1000</f>
        <v>385007</v>
      </c>
      <c r="N348" s="632">
        <f>ROUNDUP(U348+(U348*$Q$339),-1)</f>
        <v>1750030</v>
      </c>
      <c r="O348" s="633">
        <v>20</v>
      </c>
      <c r="P348" s="633">
        <v>11</v>
      </c>
      <c r="Q348" s="633"/>
      <c r="R348" s="633"/>
      <c r="S348" s="633"/>
      <c r="T348" s="634">
        <f>ROUNDUP(N348*O348*P348,-3)</f>
        <v>385007000</v>
      </c>
      <c r="U348" s="631">
        <v>1676270</v>
      </c>
      <c r="V348" s="624"/>
      <c r="W348" s="624"/>
      <c r="X348" s="624"/>
      <c r="Y348" s="624"/>
    </row>
    <row r="349" spans="1:25" ht="18" customHeight="1">
      <c r="A349" s="393"/>
      <c r="B349" s="394"/>
      <c r="C349" s="394"/>
      <c r="D349" s="394"/>
      <c r="E349" s="394"/>
      <c r="F349" s="395"/>
      <c r="G349" s="397"/>
      <c r="H349" s="589"/>
      <c r="I349" s="556"/>
      <c r="J349" s="590"/>
      <c r="K349" s="435" t="s">
        <v>772</v>
      </c>
      <c r="L349" s="514" t="s">
        <v>464</v>
      </c>
      <c r="M349" s="666">
        <f t="shared" si="6"/>
        <v>148806</v>
      </c>
      <c r="N349" s="632">
        <f>ROUNDUP(U349+(U349*$Q$339),-1)</f>
        <v>1352780</v>
      </c>
      <c r="O349" s="633">
        <v>10</v>
      </c>
      <c r="P349" s="633">
        <v>11</v>
      </c>
      <c r="Q349" s="633"/>
      <c r="R349" s="633"/>
      <c r="S349" s="633"/>
      <c r="T349" s="634">
        <f>ROUNDUP(N349*O349*P349,-3)</f>
        <v>148806000</v>
      </c>
      <c r="U349" s="631">
        <v>1295760</v>
      </c>
      <c r="V349" s="624"/>
      <c r="W349" s="624"/>
      <c r="X349" s="624"/>
      <c r="Y349" s="624"/>
    </row>
    <row r="350" spans="1:25" ht="18" customHeight="1">
      <c r="A350" s="393"/>
      <c r="B350" s="394"/>
      <c r="C350" s="394"/>
      <c r="D350" s="394"/>
      <c r="E350" s="394"/>
      <c r="F350" s="395"/>
      <c r="G350" s="397"/>
      <c r="H350" s="589"/>
      <c r="I350" s="556"/>
      <c r="J350" s="590"/>
      <c r="K350" s="513" t="s">
        <v>773</v>
      </c>
      <c r="L350" s="516"/>
      <c r="M350" s="1824">
        <f>SUM(M351:M353)</f>
        <v>77400</v>
      </c>
      <c r="N350" s="632"/>
      <c r="O350" s="633"/>
      <c r="P350" s="633"/>
      <c r="Q350" s="633"/>
      <c r="R350" s="633"/>
      <c r="S350" s="633"/>
      <c r="T350" s="634"/>
      <c r="U350" s="631"/>
      <c r="V350" s="624"/>
      <c r="W350" s="624"/>
      <c r="X350" s="624"/>
      <c r="Y350" s="624"/>
    </row>
    <row r="351" spans="1:25" ht="18" customHeight="1">
      <c r="A351" s="393"/>
      <c r="B351" s="394"/>
      <c r="C351" s="394"/>
      <c r="D351" s="394"/>
      <c r="E351" s="394"/>
      <c r="F351" s="395"/>
      <c r="G351" s="397"/>
      <c r="H351" s="589"/>
      <c r="I351" s="556"/>
      <c r="J351" s="590"/>
      <c r="K351" s="435" t="s">
        <v>774</v>
      </c>
      <c r="L351" s="514" t="s">
        <v>464</v>
      </c>
      <c r="M351" s="666">
        <f>T351/1000</f>
        <v>23400</v>
      </c>
      <c r="N351" s="632">
        <v>150000</v>
      </c>
      <c r="O351" s="633">
        <v>13</v>
      </c>
      <c r="P351" s="633">
        <v>12</v>
      </c>
      <c r="Q351" s="633"/>
      <c r="R351" s="633"/>
      <c r="S351" s="633"/>
      <c r="T351" s="634">
        <f>ROUNDUP(N351*O351*P351,-3)</f>
        <v>23400000</v>
      </c>
      <c r="U351" s="631"/>
      <c r="V351" s="624"/>
      <c r="W351" s="624"/>
      <c r="X351" s="624"/>
      <c r="Y351" s="624"/>
    </row>
    <row r="352" spans="1:25" ht="18" customHeight="1">
      <c r="A352" s="393"/>
      <c r="B352" s="394"/>
      <c r="C352" s="394"/>
      <c r="D352" s="394"/>
      <c r="E352" s="394"/>
      <c r="F352" s="395"/>
      <c r="G352" s="397"/>
      <c r="H352" s="589"/>
      <c r="I352" s="556"/>
      <c r="J352" s="590"/>
      <c r="K352" s="435" t="s">
        <v>775</v>
      </c>
      <c r="L352" s="514" t="s">
        <v>464</v>
      </c>
      <c r="M352" s="666">
        <f t="shared" ref="M352:M353" si="7">T352/1000</f>
        <v>36000</v>
      </c>
      <c r="N352" s="632">
        <v>150000</v>
      </c>
      <c r="O352" s="633">
        <v>20</v>
      </c>
      <c r="P352" s="633">
        <v>12</v>
      </c>
      <c r="Q352" s="633"/>
      <c r="R352" s="633"/>
      <c r="S352" s="633"/>
      <c r="T352" s="634">
        <f>ROUNDUP(N352*O352*P352,-3)</f>
        <v>36000000</v>
      </c>
      <c r="U352" s="631"/>
      <c r="V352" s="624"/>
      <c r="W352" s="624"/>
      <c r="X352" s="624"/>
      <c r="Y352" s="624"/>
    </row>
    <row r="353" spans="1:25" ht="18" customHeight="1">
      <c r="A353" s="393"/>
      <c r="B353" s="394"/>
      <c r="C353" s="394"/>
      <c r="D353" s="394"/>
      <c r="E353" s="394"/>
      <c r="F353" s="395"/>
      <c r="G353" s="397"/>
      <c r="H353" s="589"/>
      <c r="I353" s="556"/>
      <c r="J353" s="590"/>
      <c r="K353" s="435" t="s">
        <v>776</v>
      </c>
      <c r="L353" s="514" t="s">
        <v>464</v>
      </c>
      <c r="M353" s="666">
        <f t="shared" si="7"/>
        <v>18000</v>
      </c>
      <c r="N353" s="632">
        <v>150000</v>
      </c>
      <c r="O353" s="633">
        <v>10</v>
      </c>
      <c r="P353" s="633">
        <v>12</v>
      </c>
      <c r="Q353" s="633"/>
      <c r="R353" s="633"/>
      <c r="S353" s="633"/>
      <c r="T353" s="634">
        <f>ROUNDUP(N353*O353*P353,-3)</f>
        <v>18000000</v>
      </c>
      <c r="U353" s="631"/>
      <c r="V353" s="624"/>
      <c r="W353" s="624"/>
      <c r="X353" s="624"/>
      <c r="Y353" s="624"/>
    </row>
    <row r="354" spans="1:25" ht="18" customHeight="1">
      <c r="A354" s="393"/>
      <c r="B354" s="394"/>
      <c r="C354" s="394"/>
      <c r="D354" s="394"/>
      <c r="E354" s="394"/>
      <c r="F354" s="395"/>
      <c r="G354" s="397"/>
      <c r="H354" s="589"/>
      <c r="I354" s="556"/>
      <c r="J354" s="590"/>
      <c r="K354" s="513" t="s">
        <v>777</v>
      </c>
      <c r="L354" s="516"/>
      <c r="M354" s="1824">
        <f>SUM(M355:M357)</f>
        <v>65880</v>
      </c>
      <c r="N354" s="632"/>
      <c r="O354" s="633"/>
      <c r="P354" s="633"/>
      <c r="Q354" s="633"/>
      <c r="R354" s="633"/>
      <c r="S354" s="633"/>
      <c r="T354" s="634"/>
      <c r="U354" s="631"/>
      <c r="V354" s="624"/>
      <c r="W354" s="624"/>
      <c r="X354" s="624"/>
      <c r="Y354" s="624"/>
    </row>
    <row r="355" spans="1:25" ht="18" customHeight="1">
      <c r="A355" s="393"/>
      <c r="B355" s="394"/>
      <c r="C355" s="394"/>
      <c r="D355" s="394"/>
      <c r="E355" s="394"/>
      <c r="F355" s="395"/>
      <c r="G355" s="397"/>
      <c r="H355" s="589"/>
      <c r="I355" s="556"/>
      <c r="J355" s="590"/>
      <c r="K355" s="435" t="s">
        <v>778</v>
      </c>
      <c r="L355" s="514" t="s">
        <v>464</v>
      </c>
      <c r="M355" s="666">
        <f>T355/1000</f>
        <v>20280</v>
      </c>
      <c r="N355" s="632">
        <v>130000</v>
      </c>
      <c r="O355" s="633">
        <v>13</v>
      </c>
      <c r="P355" s="633">
        <v>12</v>
      </c>
      <c r="Q355" s="633"/>
      <c r="R355" s="633"/>
      <c r="S355" s="633"/>
      <c r="T355" s="634">
        <f>ROUNDUP(N355*O355*P355,-3)</f>
        <v>20280000</v>
      </c>
      <c r="U355" s="631"/>
      <c r="V355" s="624"/>
      <c r="W355" s="624"/>
      <c r="X355" s="624"/>
      <c r="Y355" s="624"/>
    </row>
    <row r="356" spans="1:25" ht="18" customHeight="1">
      <c r="A356" s="393"/>
      <c r="B356" s="394"/>
      <c r="C356" s="394"/>
      <c r="D356" s="394"/>
      <c r="E356" s="394"/>
      <c r="F356" s="395"/>
      <c r="G356" s="397"/>
      <c r="H356" s="589"/>
      <c r="I356" s="556"/>
      <c r="J356" s="590"/>
      <c r="K356" s="435" t="s">
        <v>779</v>
      </c>
      <c r="L356" s="514" t="s">
        <v>464</v>
      </c>
      <c r="M356" s="666">
        <f t="shared" ref="M356:M357" si="8">T356/1000</f>
        <v>31200</v>
      </c>
      <c r="N356" s="632">
        <v>130000</v>
      </c>
      <c r="O356" s="633">
        <v>20</v>
      </c>
      <c r="P356" s="633">
        <v>12</v>
      </c>
      <c r="Q356" s="633"/>
      <c r="R356" s="633"/>
      <c r="S356" s="633"/>
      <c r="T356" s="634">
        <f>ROUNDUP(N356*O356*P356,-3)</f>
        <v>31200000</v>
      </c>
      <c r="U356" s="631"/>
      <c r="V356" s="624"/>
      <c r="W356" s="624"/>
      <c r="X356" s="624"/>
      <c r="Y356" s="624"/>
    </row>
    <row r="357" spans="1:25" ht="18" customHeight="1">
      <c r="A357" s="393"/>
      <c r="B357" s="394"/>
      <c r="C357" s="394"/>
      <c r="D357" s="394"/>
      <c r="E357" s="394"/>
      <c r="F357" s="395"/>
      <c r="G357" s="397"/>
      <c r="H357" s="589"/>
      <c r="I357" s="556"/>
      <c r="J357" s="590"/>
      <c r="K357" s="435" t="s">
        <v>780</v>
      </c>
      <c r="L357" s="514" t="s">
        <v>464</v>
      </c>
      <c r="M357" s="666">
        <f t="shared" si="8"/>
        <v>14400</v>
      </c>
      <c r="N357" s="632">
        <v>120000</v>
      </c>
      <c r="O357" s="633">
        <v>10</v>
      </c>
      <c r="P357" s="633">
        <v>12</v>
      </c>
      <c r="Q357" s="633"/>
      <c r="R357" s="633"/>
      <c r="S357" s="633"/>
      <c r="T357" s="634">
        <f>ROUNDUP(N357*O357*P357,-3)</f>
        <v>14400000</v>
      </c>
      <c r="U357" s="631"/>
      <c r="V357" s="624"/>
      <c r="W357" s="624"/>
      <c r="X357" s="624"/>
      <c r="Y357" s="624"/>
    </row>
    <row r="358" spans="1:25" ht="18" customHeight="1">
      <c r="A358" s="393"/>
      <c r="B358" s="394"/>
      <c r="C358" s="394"/>
      <c r="D358" s="394"/>
      <c r="E358" s="394"/>
      <c r="F358" s="395"/>
      <c r="G358" s="397"/>
      <c r="H358" s="589"/>
      <c r="I358" s="556"/>
      <c r="J358" s="590"/>
      <c r="K358" s="513" t="s">
        <v>781</v>
      </c>
      <c r="L358" s="516"/>
      <c r="M358" s="1824">
        <f>SUM(M359:M361)</f>
        <v>197896</v>
      </c>
      <c r="N358" s="632"/>
      <c r="O358" s="633"/>
      <c r="P358" s="633"/>
      <c r="Q358" s="633"/>
      <c r="R358" s="633"/>
      <c r="S358" s="633"/>
      <c r="T358" s="634"/>
      <c r="U358" s="631"/>
      <c r="V358" s="624"/>
      <c r="W358" s="624"/>
      <c r="X358" s="624"/>
      <c r="Y358" s="624"/>
    </row>
    <row r="359" spans="1:25" ht="18" customHeight="1">
      <c r="A359" s="393"/>
      <c r="B359" s="394"/>
      <c r="C359" s="394"/>
      <c r="D359" s="394"/>
      <c r="E359" s="394"/>
      <c r="F359" s="395"/>
      <c r="G359" s="397"/>
      <c r="H359" s="589"/>
      <c r="I359" s="556"/>
      <c r="J359" s="590"/>
      <c r="K359" s="435" t="s">
        <v>782</v>
      </c>
      <c r="L359" s="514" t="s">
        <v>464</v>
      </c>
      <c r="M359" s="666">
        <f>T359/1000</f>
        <v>76574</v>
      </c>
      <c r="N359" s="632">
        <f>N347</f>
        <v>2356100</v>
      </c>
      <c r="O359" s="635">
        <v>2.5</v>
      </c>
      <c r="P359" s="633">
        <v>13</v>
      </c>
      <c r="Q359" s="633"/>
      <c r="R359" s="633"/>
      <c r="S359" s="633"/>
      <c r="T359" s="634">
        <f>ROUNDUP(N359*O359*P359,-3)</f>
        <v>76574000</v>
      </c>
      <c r="U359" s="631"/>
      <c r="V359" s="624"/>
      <c r="W359" s="624"/>
      <c r="X359" s="624"/>
      <c r="Y359" s="624"/>
    </row>
    <row r="360" spans="1:25" ht="18" customHeight="1">
      <c r="A360" s="393"/>
      <c r="B360" s="394"/>
      <c r="C360" s="394"/>
      <c r="D360" s="394"/>
      <c r="E360" s="394"/>
      <c r="F360" s="395"/>
      <c r="G360" s="397"/>
      <c r="H360" s="589"/>
      <c r="I360" s="556"/>
      <c r="J360" s="590"/>
      <c r="K360" s="435" t="s">
        <v>783</v>
      </c>
      <c r="L360" s="514" t="s">
        <v>464</v>
      </c>
      <c r="M360" s="666">
        <f t="shared" ref="M360:M361" si="9">T360/1000</f>
        <v>87502</v>
      </c>
      <c r="N360" s="632">
        <f>N348</f>
        <v>1750030</v>
      </c>
      <c r="O360" s="635">
        <v>2.5</v>
      </c>
      <c r="P360" s="633">
        <v>20</v>
      </c>
      <c r="Q360" s="633"/>
      <c r="R360" s="633"/>
      <c r="S360" s="633"/>
      <c r="T360" s="634">
        <f>ROUNDUP(N360*O360*P360,-3)</f>
        <v>87502000</v>
      </c>
      <c r="U360" s="631"/>
      <c r="V360" s="624"/>
      <c r="W360" s="624"/>
      <c r="X360" s="624"/>
      <c r="Y360" s="624"/>
    </row>
    <row r="361" spans="1:25" ht="18" customHeight="1">
      <c r="A361" s="393"/>
      <c r="B361" s="394"/>
      <c r="C361" s="394"/>
      <c r="D361" s="394"/>
      <c r="E361" s="394"/>
      <c r="F361" s="395"/>
      <c r="G361" s="397"/>
      <c r="H361" s="589"/>
      <c r="I361" s="556"/>
      <c r="J361" s="590"/>
      <c r="K361" s="435" t="s">
        <v>784</v>
      </c>
      <c r="L361" s="514" t="s">
        <v>464</v>
      </c>
      <c r="M361" s="666">
        <f t="shared" si="9"/>
        <v>33820</v>
      </c>
      <c r="N361" s="632">
        <f>N349</f>
        <v>1352780</v>
      </c>
      <c r="O361" s="635">
        <v>2.5</v>
      </c>
      <c r="P361" s="633">
        <v>10</v>
      </c>
      <c r="Q361" s="633"/>
      <c r="R361" s="633"/>
      <c r="S361" s="633"/>
      <c r="T361" s="634">
        <f>ROUNDUP(N361*O361*P361,-3)</f>
        <v>33820000</v>
      </c>
      <c r="U361" s="631"/>
      <c r="V361" s="624"/>
      <c r="W361" s="624"/>
      <c r="X361" s="624"/>
      <c r="Y361" s="624"/>
    </row>
    <row r="362" spans="1:25" ht="18" customHeight="1">
      <c r="A362" s="393"/>
      <c r="B362" s="394"/>
      <c r="C362" s="394"/>
      <c r="D362" s="394"/>
      <c r="E362" s="394"/>
      <c r="F362" s="395"/>
      <c r="G362" s="397"/>
      <c r="H362" s="589"/>
      <c r="I362" s="556"/>
      <c r="J362" s="590"/>
      <c r="K362" s="513" t="s">
        <v>785</v>
      </c>
      <c r="L362" s="516"/>
      <c r="M362" s="1824">
        <f>SUM(M363:M365)</f>
        <v>284970</v>
      </c>
      <c r="N362" s="632"/>
      <c r="O362" s="633"/>
      <c r="P362" s="633"/>
      <c r="Q362" s="633"/>
      <c r="R362" s="633"/>
      <c r="S362" s="633"/>
      <c r="T362" s="634"/>
      <c r="U362" s="631"/>
      <c r="V362" s="624"/>
      <c r="W362" s="624"/>
      <c r="X362" s="624"/>
      <c r="Y362" s="624"/>
    </row>
    <row r="363" spans="1:25" ht="18" customHeight="1">
      <c r="A363" s="393"/>
      <c r="B363" s="394"/>
      <c r="C363" s="394"/>
      <c r="D363" s="394"/>
      <c r="E363" s="394"/>
      <c r="F363" s="395"/>
      <c r="G363" s="397"/>
      <c r="H363" s="589"/>
      <c r="I363" s="556"/>
      <c r="J363" s="590"/>
      <c r="K363" s="435" t="s">
        <v>786</v>
      </c>
      <c r="L363" s="514" t="s">
        <v>464</v>
      </c>
      <c r="M363" s="666">
        <f>T363/1000</f>
        <v>110266</v>
      </c>
      <c r="N363" s="632">
        <f>N347</f>
        <v>2356100</v>
      </c>
      <c r="O363" s="635">
        <v>0.3</v>
      </c>
      <c r="P363" s="633">
        <v>13</v>
      </c>
      <c r="Q363" s="633">
        <v>12</v>
      </c>
      <c r="R363" s="633"/>
      <c r="S363" s="633"/>
      <c r="T363" s="634">
        <f>ROUNDUP(N363*O363*P363*Q363,-3)</f>
        <v>110266000</v>
      </c>
      <c r="U363" s="631"/>
      <c r="V363" s="624"/>
      <c r="W363" s="624"/>
      <c r="X363" s="624"/>
      <c r="Y363" s="624"/>
    </row>
    <row r="364" spans="1:25" ht="18" customHeight="1">
      <c r="A364" s="393"/>
      <c r="B364" s="394"/>
      <c r="C364" s="394"/>
      <c r="D364" s="394"/>
      <c r="E364" s="394"/>
      <c r="F364" s="395"/>
      <c r="G364" s="397"/>
      <c r="H364" s="589"/>
      <c r="I364" s="556"/>
      <c r="J364" s="590"/>
      <c r="K364" s="435" t="s">
        <v>787</v>
      </c>
      <c r="L364" s="514" t="s">
        <v>464</v>
      </c>
      <c r="M364" s="666">
        <f t="shared" ref="M364:M365" si="10">T364/1000</f>
        <v>126003</v>
      </c>
      <c r="N364" s="632">
        <f>N348</f>
        <v>1750030</v>
      </c>
      <c r="O364" s="635">
        <v>0.3</v>
      </c>
      <c r="P364" s="633">
        <v>20</v>
      </c>
      <c r="Q364" s="633">
        <v>12</v>
      </c>
      <c r="R364" s="633"/>
      <c r="S364" s="633"/>
      <c r="T364" s="634">
        <f>ROUNDUP(N364*O364*P364*Q364,-3)</f>
        <v>126003000</v>
      </c>
      <c r="U364" s="631"/>
      <c r="V364" s="624"/>
      <c r="W364" s="624"/>
      <c r="X364" s="624"/>
      <c r="Y364" s="624"/>
    </row>
    <row r="365" spans="1:25" ht="18" customHeight="1">
      <c r="A365" s="393"/>
      <c r="B365" s="394"/>
      <c r="C365" s="394"/>
      <c r="D365" s="394"/>
      <c r="E365" s="394"/>
      <c r="F365" s="395"/>
      <c r="G365" s="397"/>
      <c r="H365" s="589"/>
      <c r="I365" s="556"/>
      <c r="J365" s="590"/>
      <c r="K365" s="435" t="s">
        <v>788</v>
      </c>
      <c r="L365" s="514" t="s">
        <v>464</v>
      </c>
      <c r="M365" s="666">
        <f t="shared" si="10"/>
        <v>48701</v>
      </c>
      <c r="N365" s="632">
        <f>N349</f>
        <v>1352780</v>
      </c>
      <c r="O365" s="635">
        <v>0.3</v>
      </c>
      <c r="P365" s="633">
        <v>10</v>
      </c>
      <c r="Q365" s="633">
        <v>12</v>
      </c>
      <c r="R365" s="633"/>
      <c r="S365" s="633"/>
      <c r="T365" s="634">
        <f>ROUNDUP(N365*O365*P365*Q365,-3)</f>
        <v>48701000</v>
      </c>
      <c r="U365" s="631"/>
      <c r="V365" s="624"/>
      <c r="W365" s="624"/>
      <c r="X365" s="624"/>
      <c r="Y365" s="624"/>
    </row>
    <row r="366" spans="1:25" ht="18" customHeight="1">
      <c r="A366" s="393"/>
      <c r="B366" s="394"/>
      <c r="C366" s="394"/>
      <c r="D366" s="394"/>
      <c r="E366" s="394"/>
      <c r="F366" s="395"/>
      <c r="G366" s="397"/>
      <c r="H366" s="589"/>
      <c r="I366" s="556"/>
      <c r="J366" s="590"/>
      <c r="K366" s="513" t="s">
        <v>789</v>
      </c>
      <c r="L366" s="516"/>
      <c r="M366" s="1824">
        <f>SUM(M367:M369)</f>
        <v>6180</v>
      </c>
      <c r="N366" s="632"/>
      <c r="O366" s="633"/>
      <c r="P366" s="633"/>
      <c r="Q366" s="633"/>
      <c r="R366" s="633"/>
      <c r="S366" s="633"/>
      <c r="T366" s="634"/>
      <c r="U366" s="631"/>
      <c r="V366" s="624"/>
      <c r="W366" s="624"/>
      <c r="X366" s="624"/>
      <c r="Y366" s="624"/>
    </row>
    <row r="367" spans="1:25" ht="18" customHeight="1">
      <c r="A367" s="393"/>
      <c r="B367" s="394"/>
      <c r="C367" s="394"/>
      <c r="D367" s="394"/>
      <c r="E367" s="394"/>
      <c r="F367" s="395"/>
      <c r="G367" s="397"/>
      <c r="H367" s="589"/>
      <c r="I367" s="556"/>
      <c r="J367" s="590"/>
      <c r="K367" s="435" t="s">
        <v>790</v>
      </c>
      <c r="L367" s="514" t="s">
        <v>464</v>
      </c>
      <c r="M367" s="666">
        <f>T367/1000</f>
        <v>1200</v>
      </c>
      <c r="N367" s="632">
        <v>50000</v>
      </c>
      <c r="O367" s="633">
        <v>2</v>
      </c>
      <c r="P367" s="633">
        <v>12</v>
      </c>
      <c r="Q367" s="633"/>
      <c r="R367" s="633"/>
      <c r="S367" s="633"/>
      <c r="T367" s="634">
        <f>ROUNDUP(N367*O367*P367,-3)</f>
        <v>1200000</v>
      </c>
      <c r="U367" s="631"/>
      <c r="V367" s="624"/>
      <c r="W367" s="624"/>
      <c r="X367" s="624"/>
      <c r="Y367" s="624"/>
    </row>
    <row r="368" spans="1:25" ht="18" customHeight="1">
      <c r="A368" s="393"/>
      <c r="B368" s="394"/>
      <c r="C368" s="394"/>
      <c r="D368" s="394"/>
      <c r="E368" s="394"/>
      <c r="F368" s="395"/>
      <c r="G368" s="397"/>
      <c r="H368" s="589"/>
      <c r="I368" s="556"/>
      <c r="J368" s="590"/>
      <c r="K368" s="435" t="s">
        <v>791</v>
      </c>
      <c r="L368" s="514" t="s">
        <v>464</v>
      </c>
      <c r="M368" s="666">
        <f t="shared" ref="M368:M369" si="11">T368/1000</f>
        <v>4680</v>
      </c>
      <c r="N368" s="632">
        <v>30000</v>
      </c>
      <c r="O368" s="633">
        <v>13</v>
      </c>
      <c r="P368" s="633">
        <v>12</v>
      </c>
      <c r="Q368" s="633"/>
      <c r="R368" s="633"/>
      <c r="S368" s="633"/>
      <c r="T368" s="634">
        <f>ROUNDUP(N368*O368*P368,-3)</f>
        <v>4680000</v>
      </c>
      <c r="U368" s="631"/>
      <c r="V368" s="624"/>
      <c r="W368" s="624"/>
      <c r="X368" s="624"/>
      <c r="Y368" s="624"/>
    </row>
    <row r="369" spans="1:25" ht="18" customHeight="1">
      <c r="A369" s="393"/>
      <c r="B369" s="394"/>
      <c r="C369" s="394"/>
      <c r="D369" s="394"/>
      <c r="E369" s="394"/>
      <c r="F369" s="395"/>
      <c r="G369" s="397"/>
      <c r="H369" s="589"/>
      <c r="I369" s="556"/>
      <c r="J369" s="590"/>
      <c r="K369" s="435" t="s">
        <v>792</v>
      </c>
      <c r="L369" s="514" t="s">
        <v>464</v>
      </c>
      <c r="M369" s="666">
        <f t="shared" si="11"/>
        <v>300</v>
      </c>
      <c r="N369" s="632">
        <v>25000</v>
      </c>
      <c r="O369" s="633">
        <v>1</v>
      </c>
      <c r="P369" s="633">
        <v>12</v>
      </c>
      <c r="Q369" s="633"/>
      <c r="R369" s="633"/>
      <c r="S369" s="633"/>
      <c r="T369" s="634">
        <f>ROUNDUP(N369*O369*P369,-3)</f>
        <v>300000</v>
      </c>
      <c r="U369" s="631"/>
      <c r="V369" s="624"/>
      <c r="W369" s="624"/>
      <c r="X369" s="624"/>
      <c r="Y369" s="624"/>
    </row>
    <row r="370" spans="1:25" ht="18" customHeight="1">
      <c r="A370" s="393"/>
      <c r="B370" s="394"/>
      <c r="C370" s="394"/>
      <c r="D370" s="394"/>
      <c r="E370" s="394"/>
      <c r="F370" s="395"/>
      <c r="G370" s="397"/>
      <c r="H370" s="589"/>
      <c r="I370" s="556"/>
      <c r="J370" s="590"/>
      <c r="K370" s="513" t="s">
        <v>793</v>
      </c>
      <c r="L370" s="516"/>
      <c r="M370" s="1824">
        <f>M371</f>
        <v>11520</v>
      </c>
      <c r="N370" s="632"/>
      <c r="O370" s="633"/>
      <c r="P370" s="633"/>
      <c r="Q370" s="633"/>
      <c r="R370" s="633"/>
      <c r="S370" s="633"/>
      <c r="T370" s="634"/>
      <c r="U370" s="631"/>
      <c r="V370" s="624"/>
      <c r="W370" s="624"/>
      <c r="X370" s="624"/>
      <c r="Y370" s="624"/>
    </row>
    <row r="371" spans="1:25" ht="18" customHeight="1">
      <c r="A371" s="393"/>
      <c r="B371" s="394"/>
      <c r="C371" s="394"/>
      <c r="D371" s="394"/>
      <c r="E371" s="394"/>
      <c r="F371" s="395"/>
      <c r="G371" s="397"/>
      <c r="H371" s="589"/>
      <c r="I371" s="556"/>
      <c r="J371" s="590"/>
      <c r="K371" s="435" t="s">
        <v>794</v>
      </c>
      <c r="L371" s="514" t="s">
        <v>464</v>
      </c>
      <c r="M371" s="666">
        <f>T371/1000</f>
        <v>11520</v>
      </c>
      <c r="N371" s="632">
        <v>80000</v>
      </c>
      <c r="O371" s="633">
        <v>12</v>
      </c>
      <c r="P371" s="633">
        <v>12</v>
      </c>
      <c r="Q371" s="633"/>
      <c r="R371" s="633"/>
      <c r="S371" s="633"/>
      <c r="T371" s="634">
        <f>ROUNDUP(N371*O371*P371,-3)</f>
        <v>11520000</v>
      </c>
      <c r="U371" s="631"/>
      <c r="V371" s="624"/>
      <c r="W371" s="624"/>
      <c r="X371" s="624"/>
      <c r="Y371" s="624"/>
    </row>
    <row r="372" spans="1:25" ht="18" customHeight="1">
      <c r="A372" s="393"/>
      <c r="B372" s="394"/>
      <c r="C372" s="394"/>
      <c r="D372" s="394"/>
      <c r="E372" s="394"/>
      <c r="F372" s="395"/>
      <c r="G372" s="397"/>
      <c r="H372" s="589"/>
      <c r="I372" s="556"/>
      <c r="J372" s="590"/>
      <c r="K372" s="513" t="s">
        <v>795</v>
      </c>
      <c r="L372" s="516"/>
      <c r="M372" s="1824">
        <f>SUM(M373:M375)</f>
        <v>72240</v>
      </c>
      <c r="N372" s="632"/>
      <c r="O372" s="633"/>
      <c r="P372" s="633"/>
      <c r="Q372" s="633"/>
      <c r="R372" s="633"/>
      <c r="S372" s="633"/>
      <c r="T372" s="634"/>
      <c r="U372" s="631"/>
      <c r="V372" s="624"/>
      <c r="W372" s="624"/>
      <c r="X372" s="624"/>
      <c r="Y372" s="624"/>
    </row>
    <row r="373" spans="1:25" ht="18" customHeight="1">
      <c r="A373" s="393"/>
      <c r="B373" s="394"/>
      <c r="C373" s="394"/>
      <c r="D373" s="394"/>
      <c r="E373" s="394"/>
      <c r="F373" s="395"/>
      <c r="G373" s="397"/>
      <c r="H373" s="589"/>
      <c r="I373" s="556"/>
      <c r="J373" s="590"/>
      <c r="K373" s="435" t="s">
        <v>796</v>
      </c>
      <c r="L373" s="514" t="s">
        <v>464</v>
      </c>
      <c r="M373" s="666">
        <f>T373/1000</f>
        <v>21840</v>
      </c>
      <c r="N373" s="632">
        <v>140000</v>
      </c>
      <c r="O373" s="633">
        <v>13</v>
      </c>
      <c r="P373" s="633">
        <v>12</v>
      </c>
      <c r="Q373" s="633"/>
      <c r="R373" s="633"/>
      <c r="S373" s="633"/>
      <c r="T373" s="634">
        <f>ROUNDUP(N373*O373*P373,-3)</f>
        <v>21840000</v>
      </c>
      <c r="U373" s="631"/>
      <c r="V373" s="624"/>
      <c r="W373" s="624"/>
      <c r="X373" s="624"/>
      <c r="Y373" s="624"/>
    </row>
    <row r="374" spans="1:25" ht="18" customHeight="1">
      <c r="A374" s="393"/>
      <c r="B374" s="394"/>
      <c r="C374" s="394"/>
      <c r="D374" s="394"/>
      <c r="E374" s="394"/>
      <c r="F374" s="395"/>
      <c r="G374" s="397"/>
      <c r="H374" s="589"/>
      <c r="I374" s="556"/>
      <c r="J374" s="590"/>
      <c r="K374" s="435" t="s">
        <v>797</v>
      </c>
      <c r="L374" s="514" t="s">
        <v>464</v>
      </c>
      <c r="M374" s="666">
        <f t="shared" ref="M374:M375" si="12">T374/1000</f>
        <v>33600</v>
      </c>
      <c r="N374" s="632">
        <v>140000</v>
      </c>
      <c r="O374" s="633">
        <v>20</v>
      </c>
      <c r="P374" s="633">
        <v>12</v>
      </c>
      <c r="Q374" s="633"/>
      <c r="R374" s="633"/>
      <c r="S374" s="633"/>
      <c r="T374" s="634">
        <f>ROUNDUP(N374*O374*P374,-3)</f>
        <v>33600000</v>
      </c>
      <c r="U374" s="631"/>
      <c r="V374" s="624"/>
      <c r="W374" s="624"/>
      <c r="X374" s="624"/>
      <c r="Y374" s="624"/>
    </row>
    <row r="375" spans="1:25" ht="18" customHeight="1">
      <c r="A375" s="393"/>
      <c r="B375" s="394"/>
      <c r="C375" s="394"/>
      <c r="D375" s="394"/>
      <c r="E375" s="394"/>
      <c r="F375" s="395"/>
      <c r="G375" s="397"/>
      <c r="H375" s="589"/>
      <c r="I375" s="556"/>
      <c r="J375" s="590"/>
      <c r="K375" s="435" t="s">
        <v>798</v>
      </c>
      <c r="L375" s="514" t="s">
        <v>464</v>
      </c>
      <c r="M375" s="666">
        <f t="shared" si="12"/>
        <v>16800</v>
      </c>
      <c r="N375" s="632">
        <v>140000</v>
      </c>
      <c r="O375" s="633">
        <v>10</v>
      </c>
      <c r="P375" s="633">
        <v>12</v>
      </c>
      <c r="Q375" s="633"/>
      <c r="R375" s="633"/>
      <c r="S375" s="633"/>
      <c r="T375" s="634">
        <f>ROUNDUP(N375*O375*P375,-3)</f>
        <v>16800000</v>
      </c>
      <c r="U375" s="631"/>
      <c r="V375" s="624"/>
      <c r="W375" s="624"/>
      <c r="X375" s="624"/>
      <c r="Y375" s="624"/>
    </row>
    <row r="376" spans="1:25" ht="18" customHeight="1">
      <c r="A376" s="393"/>
      <c r="B376" s="394"/>
      <c r="C376" s="394"/>
      <c r="D376" s="394"/>
      <c r="E376" s="394"/>
      <c r="F376" s="395"/>
      <c r="G376" s="397"/>
      <c r="H376" s="589"/>
      <c r="I376" s="556"/>
      <c r="J376" s="590"/>
      <c r="K376" s="513" t="s">
        <v>799</v>
      </c>
      <c r="L376" s="516"/>
      <c r="M376" s="1824">
        <f>SUM(M377:M381)</f>
        <v>35640</v>
      </c>
      <c r="N376" s="632"/>
      <c r="O376" s="633"/>
      <c r="P376" s="633"/>
      <c r="Q376" s="633"/>
      <c r="R376" s="633"/>
      <c r="S376" s="633"/>
      <c r="T376" s="634"/>
      <c r="U376" s="631"/>
      <c r="V376" s="624"/>
      <c r="W376" s="624"/>
      <c r="X376" s="624"/>
      <c r="Y376" s="624"/>
    </row>
    <row r="377" spans="1:25" ht="18" customHeight="1">
      <c r="A377" s="393"/>
      <c r="B377" s="394"/>
      <c r="C377" s="394"/>
      <c r="D377" s="394"/>
      <c r="E377" s="394"/>
      <c r="F377" s="395"/>
      <c r="G377" s="397"/>
      <c r="H377" s="589"/>
      <c r="I377" s="556"/>
      <c r="J377" s="590"/>
      <c r="K377" s="435" t="s">
        <v>800</v>
      </c>
      <c r="L377" s="514" t="s">
        <v>464</v>
      </c>
      <c r="M377" s="666">
        <f>T377/1000</f>
        <v>12480</v>
      </c>
      <c r="N377" s="632">
        <v>40000</v>
      </c>
      <c r="O377" s="633">
        <v>26</v>
      </c>
      <c r="P377" s="633">
        <v>12</v>
      </c>
      <c r="Q377" s="633"/>
      <c r="R377" s="633"/>
      <c r="S377" s="633"/>
      <c r="T377" s="634">
        <f>ROUNDUP(N377*O377*P377,-3)</f>
        <v>12480000</v>
      </c>
      <c r="U377" s="631"/>
      <c r="V377" s="624"/>
      <c r="W377" s="624"/>
      <c r="X377" s="624"/>
      <c r="Y377" s="624"/>
    </row>
    <row r="378" spans="1:25" ht="18" customHeight="1">
      <c r="A378" s="393"/>
      <c r="B378" s="394"/>
      <c r="C378" s="394"/>
      <c r="D378" s="394"/>
      <c r="E378" s="394"/>
      <c r="F378" s="395"/>
      <c r="G378" s="397"/>
      <c r="H378" s="589"/>
      <c r="I378" s="556"/>
      <c r="J378" s="590"/>
      <c r="K378" s="435" t="s">
        <v>801</v>
      </c>
      <c r="L378" s="514" t="s">
        <v>464</v>
      </c>
      <c r="M378" s="666">
        <f t="shared" ref="M378:M381" si="13">T378/1000</f>
        <v>3600</v>
      </c>
      <c r="N378" s="632">
        <v>20000</v>
      </c>
      <c r="O378" s="633">
        <v>15</v>
      </c>
      <c r="P378" s="633">
        <v>12</v>
      </c>
      <c r="Q378" s="633"/>
      <c r="R378" s="633"/>
      <c r="S378" s="633"/>
      <c r="T378" s="634">
        <f>ROUNDUP(N378*O378*P378,-3)</f>
        <v>3600000</v>
      </c>
      <c r="U378" s="631"/>
      <c r="V378" s="624"/>
      <c r="W378" s="624"/>
      <c r="X378" s="624"/>
      <c r="Y378" s="624"/>
    </row>
    <row r="379" spans="1:25" ht="18" customHeight="1">
      <c r="A379" s="393"/>
      <c r="B379" s="394"/>
      <c r="C379" s="394"/>
      <c r="D379" s="394"/>
      <c r="E379" s="394"/>
      <c r="F379" s="395"/>
      <c r="G379" s="397"/>
      <c r="H379" s="589"/>
      <c r="I379" s="556"/>
      <c r="J379" s="590"/>
      <c r="K379" s="435" t="s">
        <v>802</v>
      </c>
      <c r="L379" s="514" t="s">
        <v>464</v>
      </c>
      <c r="M379" s="666">
        <f t="shared" si="13"/>
        <v>9000</v>
      </c>
      <c r="N379" s="632">
        <v>50000</v>
      </c>
      <c r="O379" s="633">
        <v>15</v>
      </c>
      <c r="P379" s="633">
        <v>12</v>
      </c>
      <c r="Q379" s="633"/>
      <c r="R379" s="633"/>
      <c r="S379" s="633"/>
      <c r="T379" s="634">
        <f>ROUNDUP(N379*O379*P379,-3)</f>
        <v>9000000</v>
      </c>
      <c r="U379" s="631"/>
      <c r="V379" s="624"/>
      <c r="W379" s="624"/>
      <c r="X379" s="624"/>
      <c r="Y379" s="624"/>
    </row>
    <row r="380" spans="1:25" ht="18" customHeight="1">
      <c r="A380" s="393"/>
      <c r="B380" s="394"/>
      <c r="C380" s="394"/>
      <c r="D380" s="394"/>
      <c r="E380" s="394"/>
      <c r="F380" s="395"/>
      <c r="G380" s="397"/>
      <c r="H380" s="589"/>
      <c r="I380" s="556"/>
      <c r="J380" s="590"/>
      <c r="K380" s="435" t="s">
        <v>803</v>
      </c>
      <c r="L380" s="514" t="s">
        <v>464</v>
      </c>
      <c r="M380" s="666">
        <f t="shared" si="13"/>
        <v>10560</v>
      </c>
      <c r="N380" s="632">
        <v>80000</v>
      </c>
      <c r="O380" s="633">
        <v>11</v>
      </c>
      <c r="P380" s="633">
        <v>12</v>
      </c>
      <c r="Q380" s="633"/>
      <c r="R380" s="633"/>
      <c r="S380" s="633"/>
      <c r="T380" s="634">
        <f>ROUNDUP(N380*O380*P380,-3)</f>
        <v>10560000</v>
      </c>
      <c r="U380" s="631"/>
      <c r="V380" s="624"/>
      <c r="W380" s="624"/>
      <c r="X380" s="624"/>
      <c r="Y380" s="624"/>
    </row>
    <row r="381" spans="1:25" ht="18" customHeight="1">
      <c r="A381" s="393"/>
      <c r="B381" s="394"/>
      <c r="C381" s="394"/>
      <c r="D381" s="394"/>
      <c r="E381" s="394"/>
      <c r="F381" s="395"/>
      <c r="G381" s="397"/>
      <c r="H381" s="589"/>
      <c r="I381" s="556"/>
      <c r="J381" s="590"/>
      <c r="K381" s="435" t="s">
        <v>804</v>
      </c>
      <c r="L381" s="514" t="s">
        <v>464</v>
      </c>
      <c r="M381" s="666">
        <f t="shared" si="13"/>
        <v>0</v>
      </c>
      <c r="N381" s="632">
        <v>120000</v>
      </c>
      <c r="O381" s="633">
        <v>0</v>
      </c>
      <c r="P381" s="633">
        <v>12</v>
      </c>
      <c r="Q381" s="633"/>
      <c r="R381" s="633"/>
      <c r="S381" s="633"/>
      <c r="T381" s="634">
        <f>ROUNDUP(N381*O381*P381,-3)</f>
        <v>0</v>
      </c>
      <c r="U381" s="631"/>
      <c r="V381" s="624"/>
      <c r="W381" s="624"/>
      <c r="X381" s="624"/>
      <c r="Y381" s="624"/>
    </row>
    <row r="382" spans="1:25" ht="18" customHeight="1">
      <c r="A382" s="393"/>
      <c r="B382" s="394"/>
      <c r="C382" s="394"/>
      <c r="D382" s="394"/>
      <c r="E382" s="394"/>
      <c r="F382" s="395"/>
      <c r="G382" s="397"/>
      <c r="H382" s="589"/>
      <c r="I382" s="556"/>
      <c r="J382" s="590"/>
      <c r="K382" s="513" t="s">
        <v>805</v>
      </c>
      <c r="L382" s="516"/>
      <c r="M382" s="1824">
        <f>SUM(M383:M388)</f>
        <v>35160</v>
      </c>
      <c r="N382" s="632"/>
      <c r="O382" s="633"/>
      <c r="P382" s="633"/>
      <c r="Q382" s="633"/>
      <c r="R382" s="633"/>
      <c r="S382" s="633"/>
      <c r="T382" s="634"/>
      <c r="U382" s="631"/>
      <c r="V382" s="624"/>
      <c r="W382" s="624"/>
      <c r="X382" s="624"/>
      <c r="Y382" s="624"/>
    </row>
    <row r="383" spans="1:25" ht="18" customHeight="1">
      <c r="A383" s="393"/>
      <c r="B383" s="394"/>
      <c r="C383" s="394"/>
      <c r="D383" s="394"/>
      <c r="E383" s="394"/>
      <c r="F383" s="395"/>
      <c r="G383" s="397"/>
      <c r="H383" s="589"/>
      <c r="I383" s="556"/>
      <c r="J383" s="590"/>
      <c r="K383" s="435" t="s">
        <v>806</v>
      </c>
      <c r="L383" s="514" t="s">
        <v>464</v>
      </c>
      <c r="M383" s="666">
        <f>T383/1000</f>
        <v>3600</v>
      </c>
      <c r="N383" s="632">
        <v>30000</v>
      </c>
      <c r="O383" s="633">
        <v>10</v>
      </c>
      <c r="P383" s="633">
        <v>12</v>
      </c>
      <c r="Q383" s="633"/>
      <c r="R383" s="633"/>
      <c r="S383" s="633"/>
      <c r="T383" s="634">
        <f t="shared" ref="T383:T388" si="14">ROUNDUP(N383*O383*P383,-3)</f>
        <v>3600000</v>
      </c>
      <c r="U383" s="631"/>
      <c r="V383" s="624"/>
      <c r="W383" s="624"/>
      <c r="X383" s="624"/>
      <c r="Y383" s="624"/>
    </row>
    <row r="384" spans="1:25" ht="18" customHeight="1">
      <c r="A384" s="393"/>
      <c r="B384" s="394"/>
      <c r="C384" s="394"/>
      <c r="D384" s="394"/>
      <c r="E384" s="394"/>
      <c r="F384" s="395"/>
      <c r="G384" s="397"/>
      <c r="H384" s="589"/>
      <c r="I384" s="556"/>
      <c r="J384" s="590"/>
      <c r="K384" s="435" t="s">
        <v>807</v>
      </c>
      <c r="L384" s="514" t="s">
        <v>464</v>
      </c>
      <c r="M384" s="666">
        <f t="shared" ref="M384:M388" si="15">T384/1000</f>
        <v>8400</v>
      </c>
      <c r="N384" s="632">
        <v>50000</v>
      </c>
      <c r="O384" s="633">
        <v>14</v>
      </c>
      <c r="P384" s="633">
        <v>12</v>
      </c>
      <c r="Q384" s="633"/>
      <c r="R384" s="633"/>
      <c r="S384" s="633"/>
      <c r="T384" s="634">
        <f t="shared" si="14"/>
        <v>8400000</v>
      </c>
      <c r="U384" s="631"/>
      <c r="V384" s="624"/>
      <c r="W384" s="624"/>
      <c r="X384" s="624"/>
      <c r="Y384" s="624"/>
    </row>
    <row r="385" spans="1:25" ht="18" customHeight="1">
      <c r="A385" s="393"/>
      <c r="B385" s="394"/>
      <c r="C385" s="394"/>
      <c r="D385" s="394"/>
      <c r="E385" s="394"/>
      <c r="F385" s="395"/>
      <c r="G385" s="397"/>
      <c r="H385" s="589"/>
      <c r="I385" s="556"/>
      <c r="J385" s="590"/>
      <c r="K385" s="435" t="s">
        <v>808</v>
      </c>
      <c r="L385" s="514" t="s">
        <v>464</v>
      </c>
      <c r="M385" s="666">
        <f t="shared" si="15"/>
        <v>5760</v>
      </c>
      <c r="N385" s="632">
        <v>60000</v>
      </c>
      <c r="O385" s="633">
        <v>8</v>
      </c>
      <c r="P385" s="633">
        <v>12</v>
      </c>
      <c r="Q385" s="633"/>
      <c r="R385" s="633"/>
      <c r="S385" s="633"/>
      <c r="T385" s="634">
        <f t="shared" si="14"/>
        <v>5760000</v>
      </c>
      <c r="U385" s="631"/>
      <c r="V385" s="624"/>
      <c r="W385" s="624"/>
      <c r="X385" s="624"/>
      <c r="Y385" s="624"/>
    </row>
    <row r="386" spans="1:25" ht="18" customHeight="1">
      <c r="A386" s="393"/>
      <c r="B386" s="394"/>
      <c r="C386" s="394"/>
      <c r="D386" s="394"/>
      <c r="E386" s="394"/>
      <c r="F386" s="395"/>
      <c r="G386" s="397"/>
      <c r="H386" s="589"/>
      <c r="I386" s="556"/>
      <c r="J386" s="590"/>
      <c r="K386" s="435" t="s">
        <v>809</v>
      </c>
      <c r="L386" s="514" t="s">
        <v>464</v>
      </c>
      <c r="M386" s="666">
        <f t="shared" si="15"/>
        <v>7680</v>
      </c>
      <c r="N386" s="632">
        <v>80000</v>
      </c>
      <c r="O386" s="633">
        <v>8</v>
      </c>
      <c r="P386" s="633">
        <v>12</v>
      </c>
      <c r="Q386" s="633"/>
      <c r="R386" s="633"/>
      <c r="S386" s="633"/>
      <c r="T386" s="634">
        <f t="shared" si="14"/>
        <v>7680000</v>
      </c>
      <c r="U386" s="631"/>
      <c r="V386" s="624"/>
      <c r="W386" s="624"/>
      <c r="X386" s="624"/>
      <c r="Y386" s="624"/>
    </row>
    <row r="387" spans="1:25" ht="18" customHeight="1">
      <c r="A387" s="393"/>
      <c r="B387" s="394"/>
      <c r="C387" s="394"/>
      <c r="D387" s="394"/>
      <c r="E387" s="394"/>
      <c r="F387" s="395"/>
      <c r="G387" s="397"/>
      <c r="H387" s="589"/>
      <c r="I387" s="556"/>
      <c r="J387" s="590"/>
      <c r="K387" s="435" t="s">
        <v>810</v>
      </c>
      <c r="L387" s="514" t="s">
        <v>464</v>
      </c>
      <c r="M387" s="666">
        <f t="shared" si="15"/>
        <v>6600</v>
      </c>
      <c r="N387" s="632">
        <v>110000</v>
      </c>
      <c r="O387" s="633">
        <v>5</v>
      </c>
      <c r="P387" s="633">
        <v>12</v>
      </c>
      <c r="Q387" s="633"/>
      <c r="R387" s="633"/>
      <c r="S387" s="633"/>
      <c r="T387" s="634">
        <f t="shared" si="14"/>
        <v>6600000</v>
      </c>
      <c r="U387" s="631"/>
      <c r="V387" s="624"/>
      <c r="W387" s="624"/>
      <c r="X387" s="624"/>
      <c r="Y387" s="624"/>
    </row>
    <row r="388" spans="1:25" ht="18" customHeight="1">
      <c r="A388" s="393"/>
      <c r="B388" s="394"/>
      <c r="C388" s="394"/>
      <c r="D388" s="394"/>
      <c r="E388" s="394"/>
      <c r="F388" s="395"/>
      <c r="G388" s="397"/>
      <c r="H388" s="589"/>
      <c r="I388" s="556"/>
      <c r="J388" s="590"/>
      <c r="K388" s="435" t="s">
        <v>811</v>
      </c>
      <c r="L388" s="514" t="s">
        <v>464</v>
      </c>
      <c r="M388" s="666">
        <f t="shared" si="15"/>
        <v>3120</v>
      </c>
      <c r="N388" s="632">
        <v>130000</v>
      </c>
      <c r="O388" s="633">
        <v>2</v>
      </c>
      <c r="P388" s="633">
        <v>12</v>
      </c>
      <c r="Q388" s="633"/>
      <c r="R388" s="633"/>
      <c r="S388" s="633"/>
      <c r="T388" s="634">
        <f t="shared" si="14"/>
        <v>3120000</v>
      </c>
      <c r="U388" s="631"/>
      <c r="V388" s="624"/>
      <c r="W388" s="624"/>
      <c r="X388" s="624"/>
      <c r="Y388" s="624"/>
    </row>
    <row r="389" spans="1:25" ht="18" customHeight="1">
      <c r="A389" s="393"/>
      <c r="B389" s="394"/>
      <c r="C389" s="394"/>
      <c r="D389" s="394"/>
      <c r="E389" s="394"/>
      <c r="F389" s="395"/>
      <c r="G389" s="397"/>
      <c r="H389" s="589"/>
      <c r="I389" s="556"/>
      <c r="J389" s="590"/>
      <c r="K389" s="513" t="s">
        <v>812</v>
      </c>
      <c r="L389" s="516"/>
      <c r="M389" s="1824">
        <f>SUM(M390:M392)</f>
        <v>118737</v>
      </c>
      <c r="N389" s="632"/>
      <c r="O389" s="633"/>
      <c r="P389" s="633"/>
      <c r="Q389" s="633"/>
      <c r="R389" s="633"/>
      <c r="S389" s="633"/>
      <c r="T389" s="634"/>
      <c r="U389" s="631"/>
      <c r="V389" s="624"/>
      <c r="W389" s="624"/>
      <c r="X389" s="624"/>
      <c r="Y389" s="624"/>
    </row>
    <row r="390" spans="1:25" ht="18" customHeight="1">
      <c r="A390" s="393"/>
      <c r="B390" s="394"/>
      <c r="C390" s="394"/>
      <c r="D390" s="394"/>
      <c r="E390" s="394"/>
      <c r="F390" s="395"/>
      <c r="G390" s="397"/>
      <c r="H390" s="589"/>
      <c r="I390" s="556"/>
      <c r="J390" s="590"/>
      <c r="K390" s="435" t="s">
        <v>813</v>
      </c>
      <c r="L390" s="514" t="s">
        <v>464</v>
      </c>
      <c r="M390" s="666">
        <f>T390/1000</f>
        <v>45944</v>
      </c>
      <c r="N390" s="632">
        <f>N347</f>
        <v>2356100</v>
      </c>
      <c r="O390" s="635">
        <v>1.5</v>
      </c>
      <c r="P390" s="633">
        <v>13</v>
      </c>
      <c r="Q390" s="633"/>
      <c r="R390" s="633"/>
      <c r="S390" s="633"/>
      <c r="T390" s="634">
        <f>ROUNDUP(N390*O390*P390,-3)</f>
        <v>45944000</v>
      </c>
      <c r="U390" s="631"/>
      <c r="V390" s="624"/>
      <c r="W390" s="624"/>
      <c r="X390" s="624"/>
      <c r="Y390" s="624"/>
    </row>
    <row r="391" spans="1:25" ht="18" customHeight="1">
      <c r="A391" s="393"/>
      <c r="B391" s="394"/>
      <c r="C391" s="394"/>
      <c r="D391" s="394"/>
      <c r="E391" s="394"/>
      <c r="F391" s="395"/>
      <c r="G391" s="397"/>
      <c r="H391" s="589"/>
      <c r="I391" s="556"/>
      <c r="J391" s="590"/>
      <c r="K391" s="435" t="s">
        <v>814</v>
      </c>
      <c r="L391" s="514" t="s">
        <v>464</v>
      </c>
      <c r="M391" s="666">
        <f t="shared" ref="M391:M392" si="16">T391/1000</f>
        <v>52501</v>
      </c>
      <c r="N391" s="632">
        <f>N348</f>
        <v>1750030</v>
      </c>
      <c r="O391" s="635">
        <v>1.5</v>
      </c>
      <c r="P391" s="633">
        <v>20</v>
      </c>
      <c r="Q391" s="633"/>
      <c r="R391" s="633"/>
      <c r="S391" s="633"/>
      <c r="T391" s="634">
        <f>ROUNDUP(N391*O391*P391,-3)</f>
        <v>52501000</v>
      </c>
      <c r="U391" s="631"/>
      <c r="V391" s="624"/>
      <c r="W391" s="624"/>
      <c r="X391" s="624"/>
      <c r="Y391" s="624"/>
    </row>
    <row r="392" spans="1:25" ht="18" customHeight="1">
      <c r="A392" s="393"/>
      <c r="B392" s="394"/>
      <c r="C392" s="394"/>
      <c r="D392" s="394"/>
      <c r="E392" s="394"/>
      <c r="F392" s="395"/>
      <c r="G392" s="397"/>
      <c r="H392" s="589"/>
      <c r="I392" s="556"/>
      <c r="J392" s="590"/>
      <c r="K392" s="435" t="s">
        <v>815</v>
      </c>
      <c r="L392" s="514" t="s">
        <v>464</v>
      </c>
      <c r="M392" s="666">
        <f t="shared" si="16"/>
        <v>20292</v>
      </c>
      <c r="N392" s="632">
        <f>N349</f>
        <v>1352780</v>
      </c>
      <c r="O392" s="635">
        <v>1.5</v>
      </c>
      <c r="P392" s="633">
        <v>10</v>
      </c>
      <c r="Q392" s="633"/>
      <c r="R392" s="633"/>
      <c r="S392" s="633"/>
      <c r="T392" s="634">
        <f>ROUNDUP(N392*O392*P392,-3)</f>
        <v>20292000</v>
      </c>
      <c r="U392" s="631"/>
      <c r="V392" s="624"/>
      <c r="W392" s="624"/>
      <c r="X392" s="624"/>
      <c r="Y392" s="624"/>
    </row>
    <row r="393" spans="1:25" ht="18" customHeight="1">
      <c r="A393" s="393"/>
      <c r="B393" s="394"/>
      <c r="C393" s="394"/>
      <c r="D393" s="394"/>
      <c r="E393" s="394"/>
      <c r="F393" s="395"/>
      <c r="G393" s="397"/>
      <c r="H393" s="589"/>
      <c r="I393" s="556"/>
      <c r="J393" s="590"/>
      <c r="K393" s="513" t="s">
        <v>816</v>
      </c>
      <c r="L393" s="516"/>
      <c r="M393" s="1824">
        <f>M394</f>
        <v>14400</v>
      </c>
      <c r="N393" s="632"/>
      <c r="O393" s="633"/>
      <c r="P393" s="633"/>
      <c r="Q393" s="633"/>
      <c r="R393" s="633"/>
      <c r="S393" s="633"/>
      <c r="T393" s="634"/>
      <c r="U393" s="631"/>
      <c r="V393" s="624"/>
      <c r="W393" s="624"/>
      <c r="X393" s="624"/>
      <c r="Y393" s="624"/>
    </row>
    <row r="394" spans="1:25" ht="18" customHeight="1">
      <c r="A394" s="393"/>
      <c r="B394" s="394"/>
      <c r="C394" s="394"/>
      <c r="D394" s="394"/>
      <c r="E394" s="394"/>
      <c r="F394" s="395"/>
      <c r="G394" s="397"/>
      <c r="H394" s="589"/>
      <c r="I394" s="556"/>
      <c r="J394" s="590"/>
      <c r="K394" s="435" t="s">
        <v>817</v>
      </c>
      <c r="L394" s="514" t="s">
        <v>464</v>
      </c>
      <c r="M394" s="666">
        <f>T394/1000</f>
        <v>14400</v>
      </c>
      <c r="N394" s="632">
        <f>N351</f>
        <v>150000</v>
      </c>
      <c r="O394" s="633">
        <v>8</v>
      </c>
      <c r="P394" s="633">
        <v>12</v>
      </c>
      <c r="Q394" s="633"/>
      <c r="R394" s="633"/>
      <c r="S394" s="633"/>
      <c r="T394" s="634">
        <f>ROUNDUP(N394*O394*P394,-3)</f>
        <v>14400000</v>
      </c>
      <c r="U394" s="631"/>
      <c r="V394" s="624"/>
      <c r="W394" s="624"/>
      <c r="X394" s="624"/>
      <c r="Y394" s="624"/>
    </row>
    <row r="395" spans="1:25" ht="18" customHeight="1">
      <c r="A395" s="393"/>
      <c r="B395" s="394"/>
      <c r="C395" s="394"/>
      <c r="D395" s="394"/>
      <c r="E395" s="394"/>
      <c r="F395" s="395"/>
      <c r="G395" s="397"/>
      <c r="H395" s="589"/>
      <c r="I395" s="556"/>
      <c r="J395" s="590"/>
      <c r="K395" s="513" t="s">
        <v>818</v>
      </c>
      <c r="L395" s="514"/>
      <c r="M395" s="1824">
        <f>SUM(M396:M397)</f>
        <v>1800</v>
      </c>
      <c r="N395" s="632"/>
      <c r="O395" s="633"/>
      <c r="P395" s="633"/>
      <c r="Q395" s="633"/>
      <c r="R395" s="633"/>
      <c r="S395" s="633"/>
      <c r="T395" s="634"/>
      <c r="U395" s="631"/>
      <c r="V395" s="624"/>
      <c r="W395" s="624"/>
      <c r="X395" s="624"/>
      <c r="Y395" s="624"/>
    </row>
    <row r="396" spans="1:25" ht="18" customHeight="1">
      <c r="A396" s="393"/>
      <c r="B396" s="394"/>
      <c r="C396" s="394"/>
      <c r="D396" s="394"/>
      <c r="E396" s="394"/>
      <c r="F396" s="395"/>
      <c r="G396" s="397"/>
      <c r="H396" s="589"/>
      <c r="I396" s="556"/>
      <c r="J396" s="590"/>
      <c r="K396" s="435" t="s">
        <v>819</v>
      </c>
      <c r="L396" s="514" t="s">
        <v>464</v>
      </c>
      <c r="M396" s="666">
        <f>T396/1000</f>
        <v>1080</v>
      </c>
      <c r="N396" s="632">
        <v>30000</v>
      </c>
      <c r="O396" s="633">
        <v>3</v>
      </c>
      <c r="P396" s="633">
        <v>12</v>
      </c>
      <c r="Q396" s="633"/>
      <c r="R396" s="633"/>
      <c r="S396" s="633"/>
      <c r="T396" s="634">
        <f>ROUNDUP(N396*O396*P396,-3)</f>
        <v>1080000</v>
      </c>
      <c r="U396" s="631"/>
      <c r="V396" s="624"/>
      <c r="W396" s="624"/>
      <c r="X396" s="624"/>
      <c r="Y396" s="624"/>
    </row>
    <row r="397" spans="1:25" ht="18" customHeight="1">
      <c r="A397" s="393"/>
      <c r="B397" s="394"/>
      <c r="C397" s="394"/>
      <c r="D397" s="394"/>
      <c r="E397" s="394"/>
      <c r="F397" s="395"/>
      <c r="G397" s="397"/>
      <c r="H397" s="589"/>
      <c r="I397" s="556"/>
      <c r="J397" s="590"/>
      <c r="K397" s="435" t="s">
        <v>820</v>
      </c>
      <c r="L397" s="514" t="s">
        <v>464</v>
      </c>
      <c r="M397" s="666">
        <f>T397/1000</f>
        <v>720</v>
      </c>
      <c r="N397" s="632">
        <v>30000</v>
      </c>
      <c r="O397" s="633">
        <v>2</v>
      </c>
      <c r="P397" s="633">
        <v>12</v>
      </c>
      <c r="Q397" s="633"/>
      <c r="R397" s="633"/>
      <c r="S397" s="633"/>
      <c r="T397" s="634">
        <f>ROUNDUP(N397*O397*P397,-3)</f>
        <v>720000</v>
      </c>
      <c r="U397" s="631"/>
      <c r="V397" s="624"/>
      <c r="W397" s="624"/>
      <c r="X397" s="624"/>
      <c r="Y397" s="624"/>
    </row>
    <row r="398" spans="1:25" ht="18" customHeight="1">
      <c r="A398" s="393"/>
      <c r="B398" s="394"/>
      <c r="C398" s="394"/>
      <c r="D398" s="394"/>
      <c r="E398" s="394"/>
      <c r="F398" s="395"/>
      <c r="G398" s="397"/>
      <c r="H398" s="589"/>
      <c r="I398" s="556"/>
      <c r="J398" s="590"/>
      <c r="K398" s="513" t="s">
        <v>821</v>
      </c>
      <c r="L398" s="516"/>
      <c r="M398" s="1824">
        <f>SUM(M399:M400)</f>
        <v>3000</v>
      </c>
      <c r="N398" s="632"/>
      <c r="O398" s="633"/>
      <c r="P398" s="633"/>
      <c r="Q398" s="633"/>
      <c r="R398" s="633"/>
      <c r="S398" s="633"/>
      <c r="T398" s="634"/>
      <c r="U398" s="631"/>
      <c r="V398" s="624"/>
      <c r="W398" s="624"/>
      <c r="X398" s="624"/>
      <c r="Y398" s="624"/>
    </row>
    <row r="399" spans="1:25" ht="18" customHeight="1">
      <c r="A399" s="393"/>
      <c r="B399" s="394"/>
      <c r="C399" s="394"/>
      <c r="D399" s="394"/>
      <c r="E399" s="394"/>
      <c r="F399" s="395"/>
      <c r="G399" s="397"/>
      <c r="H399" s="589"/>
      <c r="I399" s="556"/>
      <c r="J399" s="590"/>
      <c r="K399" s="435" t="s">
        <v>822</v>
      </c>
      <c r="L399" s="514" t="s">
        <v>464</v>
      </c>
      <c r="M399" s="666">
        <f>T399/1000</f>
        <v>1080</v>
      </c>
      <c r="N399" s="632">
        <v>30000</v>
      </c>
      <c r="O399" s="633">
        <v>3</v>
      </c>
      <c r="P399" s="633">
        <v>12</v>
      </c>
      <c r="Q399" s="633"/>
      <c r="R399" s="633"/>
      <c r="S399" s="633"/>
      <c r="T399" s="634">
        <f>ROUNDUP(N399*O399*P399,-3)</f>
        <v>1080000</v>
      </c>
      <c r="U399" s="631"/>
      <c r="V399" s="624"/>
      <c r="W399" s="624"/>
      <c r="X399" s="624"/>
      <c r="Y399" s="624"/>
    </row>
    <row r="400" spans="1:25" ht="18" customHeight="1">
      <c r="A400" s="393"/>
      <c r="B400" s="394"/>
      <c r="C400" s="394"/>
      <c r="D400" s="394"/>
      <c r="E400" s="394"/>
      <c r="F400" s="395"/>
      <c r="G400" s="397"/>
      <c r="H400" s="589"/>
      <c r="I400" s="556"/>
      <c r="J400" s="590"/>
      <c r="K400" s="435" t="s">
        <v>823</v>
      </c>
      <c r="L400" s="514" t="s">
        <v>464</v>
      </c>
      <c r="M400" s="666">
        <f>T400/1000</f>
        <v>1920</v>
      </c>
      <c r="N400" s="632">
        <v>10000</v>
      </c>
      <c r="O400" s="633">
        <v>16</v>
      </c>
      <c r="P400" s="633">
        <v>12</v>
      </c>
      <c r="Q400" s="633"/>
      <c r="R400" s="633"/>
      <c r="S400" s="633"/>
      <c r="T400" s="634">
        <f>ROUNDUP(N400*O400*P400,-3)</f>
        <v>1920000</v>
      </c>
      <c r="U400" s="631"/>
      <c r="V400" s="624"/>
      <c r="W400" s="624"/>
      <c r="X400" s="624"/>
      <c r="Y400" s="624"/>
    </row>
    <row r="401" spans="1:25" ht="18" customHeight="1">
      <c r="A401" s="393"/>
      <c r="B401" s="394"/>
      <c r="C401" s="394"/>
      <c r="D401" s="394"/>
      <c r="E401" s="394"/>
      <c r="F401" s="395"/>
      <c r="G401" s="397"/>
      <c r="H401" s="589"/>
      <c r="I401" s="556"/>
      <c r="J401" s="590"/>
      <c r="K401" s="517" t="s">
        <v>824</v>
      </c>
      <c r="L401" s="518"/>
      <c r="M401" s="1824">
        <f>M402</f>
        <v>15390</v>
      </c>
      <c r="N401" s="632"/>
      <c r="O401" s="633"/>
      <c r="P401" s="633"/>
      <c r="Q401" s="633"/>
      <c r="R401" s="633"/>
      <c r="S401" s="633"/>
      <c r="T401" s="634"/>
      <c r="U401" s="631"/>
      <c r="V401" s="624"/>
      <c r="W401" s="624"/>
      <c r="X401" s="624"/>
      <c r="Y401" s="624"/>
    </row>
    <row r="402" spans="1:25" ht="18" customHeight="1">
      <c r="A402" s="393"/>
      <c r="B402" s="394"/>
      <c r="C402" s="394"/>
      <c r="D402" s="394"/>
      <c r="E402" s="394"/>
      <c r="F402" s="395"/>
      <c r="G402" s="397"/>
      <c r="H402" s="589"/>
      <c r="I402" s="556"/>
      <c r="J402" s="590"/>
      <c r="K402" s="425" t="s">
        <v>825</v>
      </c>
      <c r="L402" s="515" t="s">
        <v>464</v>
      </c>
      <c r="M402" s="666">
        <f>T402/1000</f>
        <v>15390</v>
      </c>
      <c r="N402" s="632">
        <v>200000</v>
      </c>
      <c r="O402" s="633">
        <v>76.95</v>
      </c>
      <c r="P402" s="633">
        <v>1</v>
      </c>
      <c r="Q402" s="633"/>
      <c r="R402" s="633"/>
      <c r="S402" s="633"/>
      <c r="T402" s="634">
        <f>ROUNDUP(N402*O402*P402,-3)</f>
        <v>15390000</v>
      </c>
      <c r="U402" s="631"/>
      <c r="V402" s="624"/>
      <c r="W402" s="624"/>
      <c r="X402" s="624"/>
      <c r="Y402" s="624"/>
    </row>
    <row r="403" spans="1:25" ht="18" customHeight="1">
      <c r="A403" s="393"/>
      <c r="B403" s="394"/>
      <c r="C403" s="394"/>
      <c r="D403" s="394"/>
      <c r="E403" s="394"/>
      <c r="F403" s="395"/>
      <c r="G403" s="397"/>
      <c r="H403" s="589"/>
      <c r="I403" s="556"/>
      <c r="J403" s="590"/>
      <c r="K403" s="513" t="s">
        <v>826</v>
      </c>
      <c r="L403" s="516"/>
      <c r="M403" s="1824">
        <f>M404</f>
        <v>7200</v>
      </c>
      <c r="N403" s="632"/>
      <c r="O403" s="633"/>
      <c r="P403" s="633"/>
      <c r="Q403" s="633"/>
      <c r="R403" s="633"/>
      <c r="S403" s="633"/>
      <c r="T403" s="634"/>
      <c r="U403" s="631"/>
      <c r="V403" s="624"/>
      <c r="W403" s="624"/>
      <c r="X403" s="624"/>
      <c r="Y403" s="624"/>
    </row>
    <row r="404" spans="1:25" ht="18" customHeight="1">
      <c r="A404" s="393"/>
      <c r="B404" s="394"/>
      <c r="C404" s="394"/>
      <c r="D404" s="394"/>
      <c r="E404" s="394"/>
      <c r="F404" s="398"/>
      <c r="G404" s="395"/>
      <c r="H404" s="589"/>
      <c r="I404" s="556"/>
      <c r="J404" s="590"/>
      <c r="K404" s="425" t="s">
        <v>827</v>
      </c>
      <c r="L404" s="515" t="s">
        <v>464</v>
      </c>
      <c r="M404" s="666">
        <f>T404/1000</f>
        <v>7200</v>
      </c>
      <c r="N404" s="632">
        <v>600000</v>
      </c>
      <c r="O404" s="633">
        <v>1</v>
      </c>
      <c r="P404" s="633">
        <v>12</v>
      </c>
      <c r="Q404" s="633"/>
      <c r="R404" s="633"/>
      <c r="S404" s="633"/>
      <c r="T404" s="634">
        <f>ROUNDUP(N404*O404*P404,-3)</f>
        <v>7200000</v>
      </c>
      <c r="U404" s="631"/>
      <c r="V404" s="624"/>
      <c r="W404" s="624"/>
      <c r="X404" s="617"/>
      <c r="Y404" s="617"/>
    </row>
    <row r="405" spans="1:25" ht="18" customHeight="1">
      <c r="A405" s="393"/>
      <c r="B405" s="394"/>
      <c r="C405" s="394"/>
      <c r="D405" s="394"/>
      <c r="E405" s="394"/>
      <c r="F405" s="398"/>
      <c r="G405" s="395"/>
      <c r="H405" s="589"/>
      <c r="I405" s="556"/>
      <c r="J405" s="590"/>
      <c r="K405" s="513" t="s">
        <v>828</v>
      </c>
      <c r="L405" s="516"/>
      <c r="M405" s="1824">
        <f>SUM(M406:M410)</f>
        <v>79421</v>
      </c>
      <c r="N405" s="2343" t="s">
        <v>962</v>
      </c>
      <c r="O405" s="2344"/>
      <c r="P405" s="2344"/>
      <c r="Q405" s="2344"/>
      <c r="R405" s="2344"/>
      <c r="S405" s="2344"/>
      <c r="T405" s="2345"/>
      <c r="U405" s="631"/>
      <c r="V405" s="624"/>
      <c r="W405" s="624"/>
      <c r="X405" s="624"/>
      <c r="Y405" s="617"/>
    </row>
    <row r="406" spans="1:25" ht="18" customHeight="1">
      <c r="A406" s="393"/>
      <c r="B406" s="394"/>
      <c r="C406" s="394"/>
      <c r="D406" s="394"/>
      <c r="E406" s="394"/>
      <c r="F406" s="398"/>
      <c r="G406" s="395"/>
      <c r="H406" s="589"/>
      <c r="I406" s="556"/>
      <c r="J406" s="590"/>
      <c r="K406" s="435" t="s">
        <v>829</v>
      </c>
      <c r="L406" s="514" t="s">
        <v>464</v>
      </c>
      <c r="M406" s="666">
        <f>T406/1000</f>
        <v>4712</v>
      </c>
      <c r="N406" s="632">
        <f>N344</f>
        <v>6154150</v>
      </c>
      <c r="O406" s="633">
        <v>209</v>
      </c>
      <c r="P406" s="633">
        <v>8</v>
      </c>
      <c r="Q406" s="633">
        <v>2</v>
      </c>
      <c r="R406" s="633">
        <v>10</v>
      </c>
      <c r="S406" s="633"/>
      <c r="T406" s="634">
        <f>ROUNDUP(N406/O406*P406*Q406*R406,-3)</f>
        <v>4712000</v>
      </c>
      <c r="U406" s="631"/>
      <c r="V406" s="624"/>
      <c r="W406" s="624"/>
      <c r="X406" s="624"/>
      <c r="Y406" s="617"/>
    </row>
    <row r="407" spans="1:25" ht="18" customHeight="1">
      <c r="A407" s="393"/>
      <c r="B407" s="394"/>
      <c r="C407" s="394"/>
      <c r="D407" s="394"/>
      <c r="E407" s="394"/>
      <c r="F407" s="398"/>
      <c r="G407" s="395"/>
      <c r="H407" s="589"/>
      <c r="I407" s="556"/>
      <c r="J407" s="590"/>
      <c r="K407" s="435" t="s">
        <v>830</v>
      </c>
      <c r="L407" s="514" t="s">
        <v>464</v>
      </c>
      <c r="M407" s="666">
        <f t="shared" ref="M407:M410" si="17">T407/1000</f>
        <v>17548</v>
      </c>
      <c r="N407" s="632">
        <f>N345</f>
        <v>6548990</v>
      </c>
      <c r="O407" s="633">
        <v>209</v>
      </c>
      <c r="P407" s="633">
        <v>8</v>
      </c>
      <c r="Q407" s="633">
        <v>7</v>
      </c>
      <c r="R407" s="633">
        <v>10</v>
      </c>
      <c r="S407" s="633"/>
      <c r="T407" s="634">
        <f>ROUNDUP(N407/O407*P407*Q407*R407,-3)</f>
        <v>17548000</v>
      </c>
      <c r="U407" s="631"/>
      <c r="V407" s="624"/>
      <c r="W407" s="624"/>
      <c r="X407" s="624"/>
      <c r="Y407" s="617"/>
    </row>
    <row r="408" spans="1:25" ht="18" customHeight="1">
      <c r="A408" s="393"/>
      <c r="B408" s="394"/>
      <c r="C408" s="394"/>
      <c r="D408" s="394"/>
      <c r="E408" s="394"/>
      <c r="F408" s="398"/>
      <c r="G408" s="395"/>
      <c r="H408" s="589"/>
      <c r="I408" s="556"/>
      <c r="J408" s="590"/>
      <c r="K408" s="435" t="s">
        <v>831</v>
      </c>
      <c r="L408" s="514" t="s">
        <v>464</v>
      </c>
      <c r="M408" s="666">
        <f t="shared" si="17"/>
        <v>21538</v>
      </c>
      <c r="N408" s="632">
        <f>U408</f>
        <v>4328297</v>
      </c>
      <c r="O408" s="633">
        <v>209</v>
      </c>
      <c r="P408" s="633">
        <v>8</v>
      </c>
      <c r="Q408" s="633">
        <v>13</v>
      </c>
      <c r="R408" s="633">
        <v>10</v>
      </c>
      <c r="S408" s="633"/>
      <c r="T408" s="634">
        <f>ROUNDUP(N408/O408*P408*Q408*R408,-3)</f>
        <v>21538000</v>
      </c>
      <c r="U408" s="631">
        <f>ROUNDUP(N347+N351+N355+(N359*O359/12)+(N363*O363)+N373+N385+(N390*O390/12),0)</f>
        <v>4328297</v>
      </c>
      <c r="V408" s="624"/>
      <c r="W408" s="624"/>
      <c r="X408" s="624"/>
      <c r="Y408" s="617"/>
    </row>
    <row r="409" spans="1:25" ht="18" customHeight="1">
      <c r="A409" s="393"/>
      <c r="B409" s="394"/>
      <c r="C409" s="394"/>
      <c r="D409" s="394"/>
      <c r="E409" s="394"/>
      <c r="F409" s="398"/>
      <c r="G409" s="395"/>
      <c r="H409" s="589"/>
      <c r="I409" s="556"/>
      <c r="J409" s="590"/>
      <c r="K409" s="435" t="s">
        <v>832</v>
      </c>
      <c r="L409" s="514" t="s">
        <v>464</v>
      </c>
      <c r="M409" s="666">
        <f t="shared" si="17"/>
        <v>25481</v>
      </c>
      <c r="N409" s="632">
        <f>U409</f>
        <v>3328383</v>
      </c>
      <c r="O409" s="633">
        <v>209</v>
      </c>
      <c r="P409" s="633">
        <v>8</v>
      </c>
      <c r="Q409" s="633">
        <v>20</v>
      </c>
      <c r="R409" s="633">
        <v>10</v>
      </c>
      <c r="S409" s="633"/>
      <c r="T409" s="634">
        <f>ROUNDUP(N409/O409*P409*Q409*R409,-3)</f>
        <v>25481000</v>
      </c>
      <c r="U409" s="631">
        <f>ROUNDUP(N348+N352+N356+(N360*O360/12)+(N364*O364)+N374+N384+(N391*O391/12),0)</f>
        <v>3328383</v>
      </c>
      <c r="V409" s="624"/>
      <c r="W409" s="624"/>
      <c r="X409" s="624"/>
      <c r="Y409" s="617"/>
    </row>
    <row r="410" spans="1:25" ht="18" customHeight="1">
      <c r="A410" s="393"/>
      <c r="B410" s="394"/>
      <c r="C410" s="394"/>
      <c r="D410" s="394"/>
      <c r="E410" s="394"/>
      <c r="F410" s="394"/>
      <c r="G410" s="399"/>
      <c r="H410" s="589"/>
      <c r="I410" s="557"/>
      <c r="J410" s="590"/>
      <c r="K410" s="435" t="s">
        <v>833</v>
      </c>
      <c r="L410" s="514" t="s">
        <v>464</v>
      </c>
      <c r="M410" s="666">
        <f t="shared" si="17"/>
        <v>10142</v>
      </c>
      <c r="N410" s="632">
        <f>U410</f>
        <v>2649541</v>
      </c>
      <c r="O410" s="633">
        <v>209</v>
      </c>
      <c r="P410" s="633">
        <v>8</v>
      </c>
      <c r="Q410" s="633">
        <v>10</v>
      </c>
      <c r="R410" s="633">
        <v>10</v>
      </c>
      <c r="S410" s="633"/>
      <c r="T410" s="634">
        <f>ROUNDUP(N410/O410*P410*Q410*R410,-3)</f>
        <v>10142000</v>
      </c>
      <c r="U410" s="631">
        <f>ROUNDUP(N349+N353+N357+(N361*O361/12)+(N365*O365)+N375+N383+(N392*O392/12),0)</f>
        <v>2649541</v>
      </c>
      <c r="V410" s="624"/>
      <c r="W410" s="624"/>
      <c r="X410" s="624"/>
      <c r="Y410" s="617"/>
    </row>
    <row r="411" spans="1:25" ht="18" customHeight="1">
      <c r="A411" s="393"/>
      <c r="B411" s="394"/>
      <c r="C411" s="394"/>
      <c r="D411" s="394"/>
      <c r="E411" s="394"/>
      <c r="F411" s="394"/>
      <c r="G411" s="399"/>
      <c r="H411" s="589"/>
      <c r="I411" s="557"/>
      <c r="J411" s="590"/>
      <c r="K411" s="513" t="s">
        <v>834</v>
      </c>
      <c r="L411" s="516"/>
      <c r="M411" s="1824">
        <f>SUM(M412:M414)</f>
        <v>385833</v>
      </c>
      <c r="N411" s="632"/>
      <c r="O411" s="633"/>
      <c r="P411" s="633"/>
      <c r="Q411" s="633"/>
      <c r="R411" s="633"/>
      <c r="S411" s="633"/>
      <c r="T411" s="634"/>
      <c r="U411" s="631"/>
      <c r="V411" s="624"/>
      <c r="W411" s="624"/>
      <c r="X411" s="624"/>
      <c r="Y411" s="617"/>
    </row>
    <row r="412" spans="1:25" ht="18" customHeight="1">
      <c r="A412" s="393"/>
      <c r="B412" s="394"/>
      <c r="C412" s="394"/>
      <c r="D412" s="394"/>
      <c r="E412" s="394"/>
      <c r="F412" s="394"/>
      <c r="G412" s="399"/>
      <c r="H412" s="589"/>
      <c r="I412" s="557"/>
      <c r="J412" s="590"/>
      <c r="K412" s="435" t="s">
        <v>835</v>
      </c>
      <c r="L412" s="514" t="s">
        <v>464</v>
      </c>
      <c r="M412" s="666">
        <f>T412/1000</f>
        <v>145382</v>
      </c>
      <c r="N412" s="632">
        <f>N408</f>
        <v>4328297</v>
      </c>
      <c r="O412" s="633">
        <v>209</v>
      </c>
      <c r="P412" s="636">
        <v>1.5</v>
      </c>
      <c r="Q412" s="633">
        <v>30</v>
      </c>
      <c r="R412" s="633">
        <v>13</v>
      </c>
      <c r="S412" s="633">
        <v>12</v>
      </c>
      <c r="T412" s="634">
        <f>ROUNDUP(N412/O412*P412*Q412*R412*S412,-3)</f>
        <v>145382000</v>
      </c>
      <c r="U412" s="631"/>
      <c r="V412" s="624"/>
      <c r="W412" s="624"/>
      <c r="X412" s="624"/>
      <c r="Y412" s="617"/>
    </row>
    <row r="413" spans="1:25" ht="18" customHeight="1">
      <c r="A413" s="393"/>
      <c r="B413" s="394"/>
      <c r="C413" s="394"/>
      <c r="D413" s="394"/>
      <c r="E413" s="394"/>
      <c r="F413" s="394"/>
      <c r="G413" s="399"/>
      <c r="H413" s="589"/>
      <c r="I413" s="557"/>
      <c r="J413" s="590"/>
      <c r="K413" s="435" t="s">
        <v>836</v>
      </c>
      <c r="L413" s="514" t="s">
        <v>464</v>
      </c>
      <c r="M413" s="666">
        <f t="shared" ref="M413:M414" si="18">T413/1000</f>
        <v>171993</v>
      </c>
      <c r="N413" s="632">
        <f>N409</f>
        <v>3328383</v>
      </c>
      <c r="O413" s="633">
        <v>209</v>
      </c>
      <c r="P413" s="636">
        <v>1.5</v>
      </c>
      <c r="Q413" s="633">
        <v>30</v>
      </c>
      <c r="R413" s="633">
        <v>20</v>
      </c>
      <c r="S413" s="633">
        <v>12</v>
      </c>
      <c r="T413" s="634">
        <f>ROUNDUP(N413/O413*P413*Q413*R413*S413,-3)</f>
        <v>171993000</v>
      </c>
      <c r="U413" s="631"/>
      <c r="V413" s="624"/>
      <c r="W413" s="624"/>
      <c r="X413" s="624"/>
      <c r="Y413" s="617"/>
    </row>
    <row r="414" spans="1:25" ht="18" customHeight="1">
      <c r="A414" s="393"/>
      <c r="B414" s="394"/>
      <c r="C414" s="394"/>
      <c r="D414" s="394"/>
      <c r="E414" s="394"/>
      <c r="F414" s="394"/>
      <c r="G414" s="399"/>
      <c r="H414" s="589"/>
      <c r="I414" s="557"/>
      <c r="J414" s="590"/>
      <c r="K414" s="435" t="s">
        <v>837</v>
      </c>
      <c r="L414" s="514" t="s">
        <v>464</v>
      </c>
      <c r="M414" s="666">
        <f t="shared" si="18"/>
        <v>68458</v>
      </c>
      <c r="N414" s="632">
        <f>N410</f>
        <v>2649541</v>
      </c>
      <c r="O414" s="633">
        <v>209</v>
      </c>
      <c r="P414" s="636">
        <v>1.5</v>
      </c>
      <c r="Q414" s="633">
        <v>30</v>
      </c>
      <c r="R414" s="633">
        <v>10</v>
      </c>
      <c r="S414" s="633">
        <v>12</v>
      </c>
      <c r="T414" s="634">
        <f>ROUNDUP(N414/O414*P414*Q414*R414*S414,-3)</f>
        <v>68458000</v>
      </c>
      <c r="U414" s="631"/>
      <c r="V414" s="624"/>
      <c r="W414" s="624"/>
      <c r="X414" s="624"/>
      <c r="Y414" s="617"/>
    </row>
    <row r="415" spans="1:25" ht="18" customHeight="1">
      <c r="A415" s="393"/>
      <c r="B415" s="394"/>
      <c r="C415" s="394"/>
      <c r="D415" s="394"/>
      <c r="E415" s="394"/>
      <c r="F415" s="394"/>
      <c r="G415" s="399"/>
      <c r="H415" s="589"/>
      <c r="I415" s="557"/>
      <c r="J415" s="590"/>
      <c r="K415" s="517" t="s">
        <v>838</v>
      </c>
      <c r="L415" s="515"/>
      <c r="M415" s="1824">
        <f>M416+M421+M426+M431+M436+M441+M445+M450+M456+M463+M468+M470+M472+M474+M478+M483+M488+M493</f>
        <v>1823136</v>
      </c>
      <c r="N415" s="632"/>
      <c r="O415" s="633"/>
      <c r="P415" s="633"/>
      <c r="Q415" s="633"/>
      <c r="R415" s="633"/>
      <c r="S415" s="633"/>
      <c r="T415" s="634"/>
      <c r="U415" s="631"/>
      <c r="V415" s="624"/>
      <c r="W415" s="624"/>
      <c r="X415" s="617"/>
      <c r="Y415" s="617"/>
    </row>
    <row r="416" spans="1:25" ht="18" customHeight="1">
      <c r="A416" s="393"/>
      <c r="B416" s="394"/>
      <c r="C416" s="394"/>
      <c r="D416" s="394"/>
      <c r="E416" s="394"/>
      <c r="F416" s="394"/>
      <c r="G416" s="399"/>
      <c r="H416" s="589"/>
      <c r="I416" s="557"/>
      <c r="J416" s="590"/>
      <c r="K416" s="517" t="s">
        <v>769</v>
      </c>
      <c r="L416" s="518"/>
      <c r="M416" s="1824">
        <f>SUM(M417:M420)</f>
        <v>642482</v>
      </c>
      <c r="N416" s="2343" t="s">
        <v>960</v>
      </c>
      <c r="O416" s="2344"/>
      <c r="P416" s="2344"/>
      <c r="Q416" s="2344"/>
      <c r="R416" s="2344"/>
      <c r="S416" s="2344"/>
      <c r="T416" s="2345"/>
      <c r="U416" s="631" t="s">
        <v>961</v>
      </c>
      <c r="V416" s="624"/>
      <c r="W416" s="624"/>
      <c r="X416" s="617"/>
      <c r="Y416" s="617"/>
    </row>
    <row r="417" spans="1:25" ht="18" customHeight="1">
      <c r="A417" s="393"/>
      <c r="B417" s="394"/>
      <c r="C417" s="394"/>
      <c r="D417" s="394"/>
      <c r="E417" s="394"/>
      <c r="F417" s="394"/>
      <c r="G417" s="399"/>
      <c r="H417" s="589"/>
      <c r="I417" s="557"/>
      <c r="J417" s="590"/>
      <c r="K417" s="425" t="s">
        <v>839</v>
      </c>
      <c r="L417" s="515" t="s">
        <v>464</v>
      </c>
      <c r="M417" s="666">
        <f>T417/1000</f>
        <v>103339</v>
      </c>
      <c r="N417" s="632">
        <f>ROUNDUP(U417+(U417*$Q$339),-1)</f>
        <v>2348600</v>
      </c>
      <c r="O417" s="633">
        <v>4</v>
      </c>
      <c r="P417" s="633">
        <v>11</v>
      </c>
      <c r="Q417" s="633"/>
      <c r="R417" s="633"/>
      <c r="S417" s="633"/>
      <c r="T417" s="634">
        <f>ROUNDUP(N417*O417*P417,-3)</f>
        <v>103339000</v>
      </c>
      <c r="U417" s="631">
        <v>2249610</v>
      </c>
      <c r="V417" s="624"/>
      <c r="W417" s="624"/>
      <c r="X417" s="617"/>
      <c r="Y417" s="617"/>
    </row>
    <row r="418" spans="1:25" ht="18" customHeight="1">
      <c r="A418" s="393"/>
      <c r="B418" s="394"/>
      <c r="C418" s="394"/>
      <c r="D418" s="394"/>
      <c r="E418" s="394"/>
      <c r="F418" s="394"/>
      <c r="G418" s="399"/>
      <c r="H418" s="589"/>
      <c r="I418" s="557"/>
      <c r="J418" s="590"/>
      <c r="K418" s="425" t="s">
        <v>840</v>
      </c>
      <c r="L418" s="515" t="s">
        <v>464</v>
      </c>
      <c r="M418" s="666">
        <f t="shared" ref="M418:M420" si="19">T418/1000</f>
        <v>260186</v>
      </c>
      <c r="N418" s="632">
        <f>ROUNDUP(U418+(U418*$Q$339),-1)</f>
        <v>2150290</v>
      </c>
      <c r="O418" s="633">
        <v>11</v>
      </c>
      <c r="P418" s="633">
        <v>11</v>
      </c>
      <c r="Q418" s="633"/>
      <c r="R418" s="633"/>
      <c r="S418" s="633"/>
      <c r="T418" s="634">
        <f>ROUNDUP(N418*O418*P418,-3)</f>
        <v>260186000</v>
      </c>
      <c r="U418" s="631">
        <v>2059660</v>
      </c>
      <c r="V418" s="624"/>
      <c r="W418" s="624"/>
      <c r="X418" s="617"/>
      <c r="Y418" s="617"/>
    </row>
    <row r="419" spans="1:25" ht="18" customHeight="1">
      <c r="A419" s="393"/>
      <c r="B419" s="394"/>
      <c r="C419" s="394"/>
      <c r="D419" s="394"/>
      <c r="E419" s="394"/>
      <c r="F419" s="394"/>
      <c r="G419" s="399"/>
      <c r="H419" s="589"/>
      <c r="I419" s="557"/>
      <c r="J419" s="590"/>
      <c r="K419" s="425" t="s">
        <v>841</v>
      </c>
      <c r="L419" s="515" t="s">
        <v>464</v>
      </c>
      <c r="M419" s="666">
        <f t="shared" si="19"/>
        <v>239716</v>
      </c>
      <c r="N419" s="632">
        <f>ROUNDUP(U419+(U419*$Q$339),-1)</f>
        <v>1816030</v>
      </c>
      <c r="O419" s="633">
        <v>12</v>
      </c>
      <c r="P419" s="633">
        <v>11</v>
      </c>
      <c r="Q419" s="633"/>
      <c r="R419" s="633"/>
      <c r="S419" s="633"/>
      <c r="T419" s="634">
        <f>ROUNDUP(N419*O419*P419,-3)</f>
        <v>239716000</v>
      </c>
      <c r="U419" s="631">
        <v>1739490</v>
      </c>
      <c r="V419" s="624"/>
      <c r="W419" s="624"/>
      <c r="X419" s="617"/>
      <c r="Y419" s="617"/>
    </row>
    <row r="420" spans="1:25" ht="18" customHeight="1">
      <c r="A420" s="393"/>
      <c r="B420" s="394"/>
      <c r="C420" s="394"/>
      <c r="D420" s="394"/>
      <c r="E420" s="394"/>
      <c r="F420" s="394"/>
      <c r="G420" s="399"/>
      <c r="H420" s="589"/>
      <c r="I420" s="557"/>
      <c r="J420" s="590"/>
      <c r="K420" s="425" t="s">
        <v>842</v>
      </c>
      <c r="L420" s="515" t="s">
        <v>464</v>
      </c>
      <c r="M420" s="666">
        <f t="shared" si="19"/>
        <v>39241</v>
      </c>
      <c r="N420" s="632">
        <f>ROUNDUP(U420+(U420*$Q$339),-1)</f>
        <v>1189120</v>
      </c>
      <c r="O420" s="633">
        <v>3</v>
      </c>
      <c r="P420" s="633">
        <v>11</v>
      </c>
      <c r="Q420" s="633"/>
      <c r="R420" s="633"/>
      <c r="S420" s="633"/>
      <c r="T420" s="634">
        <f>ROUNDUP(N420*O420*P420,-3)</f>
        <v>39241000</v>
      </c>
      <c r="U420" s="631">
        <v>1139000</v>
      </c>
      <c r="V420" s="624"/>
      <c r="W420" s="624"/>
      <c r="X420" s="617"/>
      <c r="Y420" s="617"/>
    </row>
    <row r="421" spans="1:25" ht="18" customHeight="1">
      <c r="A421" s="393"/>
      <c r="B421" s="394"/>
      <c r="C421" s="394"/>
      <c r="D421" s="394"/>
      <c r="E421" s="394"/>
      <c r="F421" s="394"/>
      <c r="G421" s="399"/>
      <c r="H421" s="589"/>
      <c r="I421" s="557"/>
      <c r="J421" s="590"/>
      <c r="K421" s="517" t="s">
        <v>773</v>
      </c>
      <c r="L421" s="489"/>
      <c r="M421" s="1824">
        <f>SUM(M422:M425)</f>
        <v>54000</v>
      </c>
      <c r="N421" s="632"/>
      <c r="O421" s="633"/>
      <c r="P421" s="633"/>
      <c r="Q421" s="633"/>
      <c r="R421" s="633"/>
      <c r="S421" s="633"/>
      <c r="T421" s="634"/>
      <c r="U421" s="631"/>
      <c r="V421" s="624"/>
      <c r="W421" s="624"/>
      <c r="X421" s="617"/>
      <c r="Y421" s="617"/>
    </row>
    <row r="422" spans="1:25" ht="18" customHeight="1">
      <c r="A422" s="393"/>
      <c r="B422" s="394"/>
      <c r="C422" s="394"/>
      <c r="D422" s="394"/>
      <c r="E422" s="394"/>
      <c r="F422" s="394"/>
      <c r="G422" s="399"/>
      <c r="H422" s="589"/>
      <c r="I422" s="557"/>
      <c r="J422" s="590"/>
      <c r="K422" s="425" t="s">
        <v>843</v>
      </c>
      <c r="L422" s="441" t="s">
        <v>464</v>
      </c>
      <c r="M422" s="666">
        <f>T422/1000</f>
        <v>7200</v>
      </c>
      <c r="N422" s="632">
        <v>150000</v>
      </c>
      <c r="O422" s="633">
        <v>4</v>
      </c>
      <c r="P422" s="633">
        <v>12</v>
      </c>
      <c r="Q422" s="633"/>
      <c r="R422" s="633"/>
      <c r="S422" s="633"/>
      <c r="T422" s="634">
        <f>ROUNDUP(N422*O422*P422,-3)</f>
        <v>7200000</v>
      </c>
      <c r="U422" s="631"/>
      <c r="V422" s="624"/>
      <c r="W422" s="624"/>
      <c r="X422" s="617"/>
      <c r="Y422" s="617"/>
    </row>
    <row r="423" spans="1:25" ht="18" customHeight="1">
      <c r="A423" s="393"/>
      <c r="B423" s="394"/>
      <c r="C423" s="394"/>
      <c r="D423" s="394"/>
      <c r="E423" s="394"/>
      <c r="F423" s="394"/>
      <c r="G423" s="399"/>
      <c r="H423" s="589"/>
      <c r="I423" s="557"/>
      <c r="J423" s="590"/>
      <c r="K423" s="425" t="s">
        <v>844</v>
      </c>
      <c r="L423" s="441" t="s">
        <v>464</v>
      </c>
      <c r="M423" s="666">
        <f t="shared" ref="M423:M425" si="20">T423/1000</f>
        <v>19800</v>
      </c>
      <c r="N423" s="632">
        <v>150000</v>
      </c>
      <c r="O423" s="633">
        <v>11</v>
      </c>
      <c r="P423" s="633">
        <v>12</v>
      </c>
      <c r="Q423" s="633"/>
      <c r="R423" s="633"/>
      <c r="S423" s="633"/>
      <c r="T423" s="634">
        <f>ROUNDUP(N423*O423*P423,-3)</f>
        <v>19800000</v>
      </c>
      <c r="U423" s="631"/>
      <c r="V423" s="624"/>
      <c r="W423" s="624"/>
      <c r="X423" s="617"/>
      <c r="Y423" s="617"/>
    </row>
    <row r="424" spans="1:25" ht="18" customHeight="1">
      <c r="A424" s="393"/>
      <c r="B424" s="394"/>
      <c r="C424" s="394"/>
      <c r="D424" s="394"/>
      <c r="E424" s="394"/>
      <c r="F424" s="394"/>
      <c r="G424" s="399"/>
      <c r="H424" s="589"/>
      <c r="I424" s="557"/>
      <c r="J424" s="590"/>
      <c r="K424" s="425" t="s">
        <v>845</v>
      </c>
      <c r="L424" s="441" t="s">
        <v>464</v>
      </c>
      <c r="M424" s="666">
        <f t="shared" si="20"/>
        <v>21600</v>
      </c>
      <c r="N424" s="632">
        <v>150000</v>
      </c>
      <c r="O424" s="633">
        <v>12</v>
      </c>
      <c r="P424" s="633">
        <v>12</v>
      </c>
      <c r="Q424" s="633"/>
      <c r="R424" s="633"/>
      <c r="S424" s="633"/>
      <c r="T424" s="634">
        <f>ROUNDUP(N424*O424*P424,-3)</f>
        <v>21600000</v>
      </c>
      <c r="U424" s="631"/>
      <c r="V424" s="624"/>
      <c r="W424" s="624"/>
      <c r="X424" s="617"/>
      <c r="Y424" s="617"/>
    </row>
    <row r="425" spans="1:25" ht="18" customHeight="1">
      <c r="A425" s="393"/>
      <c r="B425" s="394"/>
      <c r="C425" s="394"/>
      <c r="D425" s="394"/>
      <c r="E425" s="394"/>
      <c r="F425" s="394"/>
      <c r="G425" s="399"/>
      <c r="H425" s="589"/>
      <c r="I425" s="557"/>
      <c r="J425" s="590"/>
      <c r="K425" s="425" t="s">
        <v>846</v>
      </c>
      <c r="L425" s="441" t="s">
        <v>464</v>
      </c>
      <c r="M425" s="666">
        <f t="shared" si="20"/>
        <v>5400</v>
      </c>
      <c r="N425" s="632">
        <v>150000</v>
      </c>
      <c r="O425" s="633">
        <v>3</v>
      </c>
      <c r="P425" s="633">
        <v>12</v>
      </c>
      <c r="Q425" s="633"/>
      <c r="R425" s="633"/>
      <c r="S425" s="633"/>
      <c r="T425" s="634">
        <f>ROUNDUP(N425*O425*P425,-3)</f>
        <v>5400000</v>
      </c>
      <c r="U425" s="631"/>
      <c r="V425" s="624"/>
      <c r="W425" s="624"/>
      <c r="X425" s="617"/>
      <c r="Y425" s="617"/>
    </row>
    <row r="426" spans="1:25" ht="18" customHeight="1">
      <c r="A426" s="393"/>
      <c r="B426" s="394"/>
      <c r="C426" s="394"/>
      <c r="D426" s="394"/>
      <c r="E426" s="394"/>
      <c r="F426" s="394"/>
      <c r="G426" s="399"/>
      <c r="H426" s="589"/>
      <c r="I426" s="557"/>
      <c r="J426" s="590"/>
      <c r="K426" s="517" t="s">
        <v>777</v>
      </c>
      <c r="L426" s="489"/>
      <c r="M426" s="1824">
        <f>SUM(M427:M430)</f>
        <v>43680</v>
      </c>
      <c r="N426" s="632"/>
      <c r="O426" s="633"/>
      <c r="P426" s="633"/>
      <c r="Q426" s="633"/>
      <c r="R426" s="633"/>
      <c r="S426" s="633"/>
      <c r="T426" s="634"/>
      <c r="U426" s="631"/>
      <c r="V426" s="624"/>
      <c r="W426" s="624"/>
      <c r="X426" s="617"/>
      <c r="Y426" s="617"/>
    </row>
    <row r="427" spans="1:25" ht="18" customHeight="1">
      <c r="A427" s="393"/>
      <c r="B427" s="394"/>
      <c r="C427" s="394"/>
      <c r="D427" s="394"/>
      <c r="E427" s="394"/>
      <c r="F427" s="394"/>
      <c r="G427" s="399"/>
      <c r="H427" s="589"/>
      <c r="I427" s="557"/>
      <c r="J427" s="590"/>
      <c r="K427" s="425" t="s">
        <v>847</v>
      </c>
      <c r="L427" s="441" t="s">
        <v>464</v>
      </c>
      <c r="M427" s="666">
        <f>T427/1000</f>
        <v>6240</v>
      </c>
      <c r="N427" s="632">
        <v>130000</v>
      </c>
      <c r="O427" s="633">
        <v>4</v>
      </c>
      <c r="P427" s="633">
        <v>12</v>
      </c>
      <c r="Q427" s="633"/>
      <c r="R427" s="633"/>
      <c r="S427" s="633"/>
      <c r="T427" s="634">
        <f>ROUNDUP(N427*O427*P427,-3)</f>
        <v>6240000</v>
      </c>
      <c r="U427" s="631"/>
      <c r="V427" s="624"/>
      <c r="W427" s="624"/>
      <c r="X427" s="617"/>
      <c r="Y427" s="617"/>
    </row>
    <row r="428" spans="1:25" ht="18" customHeight="1">
      <c r="A428" s="393"/>
      <c r="B428" s="394"/>
      <c r="C428" s="394"/>
      <c r="D428" s="394"/>
      <c r="E428" s="394"/>
      <c r="F428" s="394"/>
      <c r="G428" s="399"/>
      <c r="H428" s="589"/>
      <c r="I428" s="557"/>
      <c r="J428" s="590"/>
      <c r="K428" s="425" t="s">
        <v>848</v>
      </c>
      <c r="L428" s="441" t="s">
        <v>464</v>
      </c>
      <c r="M428" s="666">
        <f t="shared" ref="M428:M430" si="21">T428/1000</f>
        <v>15840</v>
      </c>
      <c r="N428" s="632">
        <v>120000</v>
      </c>
      <c r="O428" s="633">
        <v>11</v>
      </c>
      <c r="P428" s="633">
        <v>12</v>
      </c>
      <c r="Q428" s="633"/>
      <c r="R428" s="633"/>
      <c r="S428" s="633"/>
      <c r="T428" s="634">
        <f>ROUNDUP(N428*O428*P428,-3)</f>
        <v>15840000</v>
      </c>
      <c r="U428" s="631"/>
      <c r="V428" s="624"/>
      <c r="W428" s="624"/>
      <c r="X428" s="617"/>
      <c r="Y428" s="617"/>
    </row>
    <row r="429" spans="1:25" ht="18" customHeight="1">
      <c r="A429" s="393"/>
      <c r="B429" s="394"/>
      <c r="C429" s="394"/>
      <c r="D429" s="394"/>
      <c r="E429" s="394"/>
      <c r="F429" s="394"/>
      <c r="G429" s="399"/>
      <c r="H429" s="589"/>
      <c r="I429" s="557"/>
      <c r="J429" s="590"/>
      <c r="K429" s="425" t="s">
        <v>849</v>
      </c>
      <c r="L429" s="441" t="s">
        <v>464</v>
      </c>
      <c r="M429" s="666">
        <f t="shared" si="21"/>
        <v>17280</v>
      </c>
      <c r="N429" s="632">
        <v>120000</v>
      </c>
      <c r="O429" s="633">
        <v>12</v>
      </c>
      <c r="P429" s="633">
        <v>12</v>
      </c>
      <c r="Q429" s="633"/>
      <c r="R429" s="633"/>
      <c r="S429" s="633"/>
      <c r="T429" s="634">
        <f>ROUNDUP(N429*O429*P429,-3)</f>
        <v>17280000</v>
      </c>
      <c r="U429" s="631"/>
      <c r="V429" s="624"/>
      <c r="W429" s="624"/>
      <c r="X429" s="617"/>
      <c r="Y429" s="617"/>
    </row>
    <row r="430" spans="1:25" ht="18" customHeight="1">
      <c r="A430" s="393"/>
      <c r="B430" s="394"/>
      <c r="C430" s="394"/>
      <c r="D430" s="394"/>
      <c r="E430" s="394"/>
      <c r="F430" s="394"/>
      <c r="G430" s="399"/>
      <c r="H430" s="589"/>
      <c r="I430" s="557"/>
      <c r="J430" s="590"/>
      <c r="K430" s="425" t="s">
        <v>850</v>
      </c>
      <c r="L430" s="515" t="s">
        <v>464</v>
      </c>
      <c r="M430" s="666">
        <f t="shared" si="21"/>
        <v>4320</v>
      </c>
      <c r="N430" s="632">
        <v>120000</v>
      </c>
      <c r="O430" s="633">
        <v>3</v>
      </c>
      <c r="P430" s="633">
        <v>12</v>
      </c>
      <c r="Q430" s="633"/>
      <c r="R430" s="633"/>
      <c r="S430" s="633"/>
      <c r="T430" s="634">
        <f>ROUNDUP(N430*O430*P430,-3)</f>
        <v>4320000</v>
      </c>
      <c r="U430" s="631"/>
      <c r="V430" s="624"/>
      <c r="W430" s="624"/>
      <c r="X430" s="617"/>
      <c r="Y430" s="617"/>
    </row>
    <row r="431" spans="1:25" ht="18" customHeight="1">
      <c r="A431" s="393"/>
      <c r="B431" s="394"/>
      <c r="C431" s="394"/>
      <c r="D431" s="394"/>
      <c r="E431" s="394"/>
      <c r="F431" s="394"/>
      <c r="G431" s="399"/>
      <c r="H431" s="589"/>
      <c r="I431" s="557"/>
      <c r="J431" s="590"/>
      <c r="K431" s="517" t="s">
        <v>781</v>
      </c>
      <c r="L431" s="518"/>
      <c r="M431" s="1824">
        <f>SUM(M432:M435)</f>
        <v>146019</v>
      </c>
      <c r="N431" s="632"/>
      <c r="O431" s="633"/>
      <c r="P431" s="633"/>
      <c r="Q431" s="633"/>
      <c r="R431" s="633"/>
      <c r="S431" s="633"/>
      <c r="T431" s="634"/>
      <c r="U431" s="631"/>
      <c r="V431" s="624"/>
      <c r="W431" s="624"/>
      <c r="X431" s="617"/>
      <c r="Y431" s="617"/>
    </row>
    <row r="432" spans="1:25" ht="18" customHeight="1">
      <c r="A432" s="393"/>
      <c r="B432" s="394"/>
      <c r="C432" s="394"/>
      <c r="D432" s="394"/>
      <c r="E432" s="394"/>
      <c r="F432" s="394"/>
      <c r="G432" s="399"/>
      <c r="H432" s="589"/>
      <c r="I432" s="557"/>
      <c r="J432" s="590"/>
      <c r="K432" s="425" t="s">
        <v>851</v>
      </c>
      <c r="L432" s="441" t="s">
        <v>464</v>
      </c>
      <c r="M432" s="666">
        <f>T432/1000</f>
        <v>23486</v>
      </c>
      <c r="N432" s="632">
        <f>N417</f>
        <v>2348600</v>
      </c>
      <c r="O432" s="635">
        <v>2.5</v>
      </c>
      <c r="P432" s="633">
        <v>4</v>
      </c>
      <c r="Q432" s="633"/>
      <c r="R432" s="633"/>
      <c r="S432" s="633"/>
      <c r="T432" s="634">
        <f>ROUNDUP(N432*O432*P432,-3)</f>
        <v>23486000</v>
      </c>
      <c r="U432" s="631"/>
      <c r="V432" s="624"/>
      <c r="W432" s="624"/>
      <c r="X432" s="617"/>
      <c r="Y432" s="617"/>
    </row>
    <row r="433" spans="1:25" ht="18" customHeight="1">
      <c r="A433" s="393"/>
      <c r="B433" s="394"/>
      <c r="C433" s="394"/>
      <c r="D433" s="394"/>
      <c r="E433" s="394"/>
      <c r="F433" s="394"/>
      <c r="G433" s="399"/>
      <c r="H433" s="589"/>
      <c r="I433" s="557"/>
      <c r="J433" s="590"/>
      <c r="K433" s="425" t="s">
        <v>852</v>
      </c>
      <c r="L433" s="441" t="s">
        <v>464</v>
      </c>
      <c r="M433" s="666">
        <f t="shared" ref="M433:M435" si="22">T433/1000</f>
        <v>59133</v>
      </c>
      <c r="N433" s="632">
        <f>N418</f>
        <v>2150290</v>
      </c>
      <c r="O433" s="635">
        <v>2.5</v>
      </c>
      <c r="P433" s="633">
        <v>11</v>
      </c>
      <c r="Q433" s="633"/>
      <c r="R433" s="633"/>
      <c r="S433" s="633"/>
      <c r="T433" s="634">
        <f>ROUNDUP(N433*O433*P433,-3)</f>
        <v>59133000</v>
      </c>
      <c r="U433" s="631"/>
      <c r="V433" s="624"/>
      <c r="W433" s="624"/>
      <c r="X433" s="617"/>
      <c r="Y433" s="617"/>
    </row>
    <row r="434" spans="1:25" ht="18" customHeight="1">
      <c r="A434" s="393"/>
      <c r="B434" s="394"/>
      <c r="C434" s="394"/>
      <c r="D434" s="394"/>
      <c r="E434" s="394"/>
      <c r="F434" s="394"/>
      <c r="G434" s="399"/>
      <c r="H434" s="589"/>
      <c r="I434" s="557"/>
      <c r="J434" s="590"/>
      <c r="K434" s="425" t="s">
        <v>853</v>
      </c>
      <c r="L434" s="441" t="s">
        <v>464</v>
      </c>
      <c r="M434" s="666">
        <f t="shared" si="22"/>
        <v>54481</v>
      </c>
      <c r="N434" s="632">
        <f>N419</f>
        <v>1816030</v>
      </c>
      <c r="O434" s="635">
        <v>2.5</v>
      </c>
      <c r="P434" s="633">
        <v>12</v>
      </c>
      <c r="Q434" s="633"/>
      <c r="R434" s="633"/>
      <c r="S434" s="633"/>
      <c r="T434" s="634">
        <f>ROUNDUP(N434*O434*P434,-3)</f>
        <v>54481000</v>
      </c>
      <c r="U434" s="631"/>
      <c r="V434" s="624"/>
      <c r="W434" s="624"/>
      <c r="X434" s="617"/>
      <c r="Y434" s="617"/>
    </row>
    <row r="435" spans="1:25" ht="18" customHeight="1">
      <c r="A435" s="393"/>
      <c r="B435" s="394"/>
      <c r="C435" s="394"/>
      <c r="D435" s="394"/>
      <c r="E435" s="394"/>
      <c r="F435" s="394"/>
      <c r="G435" s="399"/>
      <c r="H435" s="589"/>
      <c r="I435" s="557"/>
      <c r="J435" s="590"/>
      <c r="K435" s="425" t="s">
        <v>854</v>
      </c>
      <c r="L435" s="441" t="s">
        <v>464</v>
      </c>
      <c r="M435" s="666">
        <f t="shared" si="22"/>
        <v>8919</v>
      </c>
      <c r="N435" s="632">
        <f>N420</f>
        <v>1189120</v>
      </c>
      <c r="O435" s="635">
        <v>2.5</v>
      </c>
      <c r="P435" s="633">
        <v>3</v>
      </c>
      <c r="Q435" s="633"/>
      <c r="R435" s="633"/>
      <c r="S435" s="633"/>
      <c r="T435" s="634">
        <f>ROUNDUP(N435*O435*P435,-3)</f>
        <v>8919000</v>
      </c>
      <c r="U435" s="631"/>
      <c r="V435" s="624"/>
      <c r="W435" s="624"/>
      <c r="X435" s="617"/>
      <c r="Y435" s="617"/>
    </row>
    <row r="436" spans="1:25" ht="18" customHeight="1">
      <c r="A436" s="393"/>
      <c r="B436" s="394"/>
      <c r="C436" s="394"/>
      <c r="D436" s="394"/>
      <c r="E436" s="394"/>
      <c r="F436" s="394"/>
      <c r="G436" s="399"/>
      <c r="H436" s="589"/>
      <c r="I436" s="557"/>
      <c r="J436" s="590"/>
      <c r="K436" s="517" t="s">
        <v>785</v>
      </c>
      <c r="L436" s="489"/>
      <c r="M436" s="1824">
        <f>SUM(M437:M440)</f>
        <v>210268</v>
      </c>
      <c r="N436" s="632"/>
      <c r="O436" s="633"/>
      <c r="P436" s="633"/>
      <c r="Q436" s="633"/>
      <c r="R436" s="633"/>
      <c r="S436" s="633"/>
      <c r="T436" s="634"/>
      <c r="U436" s="631"/>
      <c r="V436" s="624"/>
      <c r="W436" s="624"/>
      <c r="X436" s="617"/>
      <c r="Y436" s="617"/>
    </row>
    <row r="437" spans="1:25" ht="18" customHeight="1">
      <c r="A437" s="393"/>
      <c r="B437" s="394"/>
      <c r="C437" s="394"/>
      <c r="D437" s="394"/>
      <c r="E437" s="394"/>
      <c r="F437" s="394"/>
      <c r="G437" s="399"/>
      <c r="H437" s="589"/>
      <c r="I437" s="557"/>
      <c r="J437" s="590"/>
      <c r="K437" s="425" t="s">
        <v>855</v>
      </c>
      <c r="L437" s="441" t="s">
        <v>464</v>
      </c>
      <c r="M437" s="666">
        <f>T437/1000</f>
        <v>33820</v>
      </c>
      <c r="N437" s="632">
        <f>N417</f>
        <v>2348600</v>
      </c>
      <c r="O437" s="635">
        <v>0.3</v>
      </c>
      <c r="P437" s="633">
        <v>4</v>
      </c>
      <c r="Q437" s="633">
        <v>12</v>
      </c>
      <c r="R437" s="633"/>
      <c r="S437" s="633"/>
      <c r="T437" s="634">
        <f>ROUNDUP(N437*O437*P437*Q437,-3)</f>
        <v>33820000</v>
      </c>
      <c r="U437" s="631"/>
      <c r="V437" s="624"/>
      <c r="W437" s="624"/>
      <c r="X437" s="617"/>
      <c r="Y437" s="617"/>
    </row>
    <row r="438" spans="1:25" ht="18" customHeight="1">
      <c r="A438" s="393"/>
      <c r="B438" s="394"/>
      <c r="C438" s="394"/>
      <c r="D438" s="394"/>
      <c r="E438" s="394"/>
      <c r="F438" s="394"/>
      <c r="G438" s="399"/>
      <c r="H438" s="589"/>
      <c r="I438" s="557"/>
      <c r="J438" s="590"/>
      <c r="K438" s="425" t="s">
        <v>856</v>
      </c>
      <c r="L438" s="441" t="s">
        <v>464</v>
      </c>
      <c r="M438" s="666">
        <f t="shared" ref="M438:M440" si="23">T438/1000</f>
        <v>85152</v>
      </c>
      <c r="N438" s="632">
        <f>N418</f>
        <v>2150290</v>
      </c>
      <c r="O438" s="635">
        <v>0.3</v>
      </c>
      <c r="P438" s="633">
        <v>11</v>
      </c>
      <c r="Q438" s="633">
        <v>12</v>
      </c>
      <c r="R438" s="633"/>
      <c r="S438" s="633"/>
      <c r="T438" s="634">
        <f>ROUNDUP(N438*O438*P438*Q438,-3)</f>
        <v>85152000</v>
      </c>
      <c r="U438" s="631"/>
      <c r="V438" s="624"/>
      <c r="W438" s="624"/>
      <c r="X438" s="617"/>
      <c r="Y438" s="617"/>
    </row>
    <row r="439" spans="1:25" ht="18" customHeight="1">
      <c r="A439" s="393"/>
      <c r="B439" s="394"/>
      <c r="C439" s="394"/>
      <c r="D439" s="394"/>
      <c r="E439" s="394"/>
      <c r="F439" s="394"/>
      <c r="G439" s="399"/>
      <c r="H439" s="589"/>
      <c r="I439" s="557"/>
      <c r="J439" s="590"/>
      <c r="K439" s="425" t="s">
        <v>857</v>
      </c>
      <c r="L439" s="441" t="s">
        <v>464</v>
      </c>
      <c r="M439" s="666">
        <f t="shared" si="23"/>
        <v>78453</v>
      </c>
      <c r="N439" s="632">
        <f>N419</f>
        <v>1816030</v>
      </c>
      <c r="O439" s="635">
        <v>0.3</v>
      </c>
      <c r="P439" s="633">
        <v>12</v>
      </c>
      <c r="Q439" s="633">
        <v>12</v>
      </c>
      <c r="R439" s="633"/>
      <c r="S439" s="633"/>
      <c r="T439" s="634">
        <f>ROUNDUP(N439*O439*P439*Q439,-3)</f>
        <v>78453000</v>
      </c>
      <c r="U439" s="631"/>
      <c r="V439" s="624"/>
      <c r="W439" s="624"/>
      <c r="X439" s="617"/>
      <c r="Y439" s="617"/>
    </row>
    <row r="440" spans="1:25" ht="18" customHeight="1">
      <c r="A440" s="393"/>
      <c r="B440" s="394"/>
      <c r="C440" s="394"/>
      <c r="D440" s="394"/>
      <c r="E440" s="394"/>
      <c r="F440" s="394"/>
      <c r="G440" s="399"/>
      <c r="H440" s="589"/>
      <c r="I440" s="557"/>
      <c r="J440" s="590"/>
      <c r="K440" s="425" t="s">
        <v>858</v>
      </c>
      <c r="L440" s="441" t="s">
        <v>464</v>
      </c>
      <c r="M440" s="666">
        <f t="shared" si="23"/>
        <v>12843</v>
      </c>
      <c r="N440" s="632">
        <f>N420</f>
        <v>1189120</v>
      </c>
      <c r="O440" s="635">
        <v>0.3</v>
      </c>
      <c r="P440" s="633">
        <v>3</v>
      </c>
      <c r="Q440" s="633">
        <v>12</v>
      </c>
      <c r="R440" s="633"/>
      <c r="S440" s="633"/>
      <c r="T440" s="634">
        <f>ROUNDUP(N440*O440*P440*Q440,-3)</f>
        <v>12843000</v>
      </c>
      <c r="U440" s="631"/>
      <c r="V440" s="624"/>
      <c r="W440" s="624"/>
      <c r="X440" s="617"/>
      <c r="Y440" s="617"/>
    </row>
    <row r="441" spans="1:25" ht="18" customHeight="1">
      <c r="A441" s="393"/>
      <c r="B441" s="394"/>
      <c r="C441" s="394"/>
      <c r="D441" s="394"/>
      <c r="E441" s="394"/>
      <c r="F441" s="394"/>
      <c r="G441" s="399"/>
      <c r="H441" s="589"/>
      <c r="I441" s="557"/>
      <c r="J441" s="590"/>
      <c r="K441" s="517" t="s">
        <v>789</v>
      </c>
      <c r="L441" s="518"/>
      <c r="M441" s="1824">
        <f>SUM(M442:M444)</f>
        <v>3900</v>
      </c>
      <c r="N441" s="632"/>
      <c r="O441" s="633"/>
      <c r="P441" s="633"/>
      <c r="Q441" s="633"/>
      <c r="R441" s="633"/>
      <c r="S441" s="633"/>
      <c r="T441" s="634"/>
      <c r="U441" s="631"/>
      <c r="V441" s="624"/>
      <c r="W441" s="624"/>
      <c r="X441" s="617"/>
      <c r="Y441" s="617"/>
    </row>
    <row r="442" spans="1:25" ht="18" customHeight="1">
      <c r="A442" s="393"/>
      <c r="B442" s="394"/>
      <c r="C442" s="394"/>
      <c r="D442" s="394"/>
      <c r="E442" s="394"/>
      <c r="F442" s="394"/>
      <c r="G442" s="399"/>
      <c r="H442" s="589"/>
      <c r="I442" s="557"/>
      <c r="J442" s="590"/>
      <c r="K442" s="425" t="s">
        <v>790</v>
      </c>
      <c r="L442" s="441" t="s">
        <v>464</v>
      </c>
      <c r="M442" s="666">
        <f>T442/1000</f>
        <v>1200</v>
      </c>
      <c r="N442" s="632">
        <v>50000</v>
      </c>
      <c r="O442" s="633">
        <v>2</v>
      </c>
      <c r="P442" s="633">
        <v>12</v>
      </c>
      <c r="Q442" s="633"/>
      <c r="R442" s="633"/>
      <c r="S442" s="633"/>
      <c r="T442" s="634">
        <f>ROUNDUP(N442*O442*P442,-3)</f>
        <v>1200000</v>
      </c>
      <c r="U442" s="631"/>
      <c r="V442" s="624"/>
      <c r="W442" s="624"/>
      <c r="X442" s="617"/>
      <c r="Y442" s="617"/>
    </row>
    <row r="443" spans="1:25" ht="18" customHeight="1">
      <c r="A443" s="393"/>
      <c r="B443" s="394"/>
      <c r="C443" s="394"/>
      <c r="D443" s="394"/>
      <c r="E443" s="394"/>
      <c r="F443" s="394"/>
      <c r="G443" s="399"/>
      <c r="H443" s="589"/>
      <c r="I443" s="557"/>
      <c r="J443" s="590"/>
      <c r="K443" s="425" t="s">
        <v>859</v>
      </c>
      <c r="L443" s="515" t="s">
        <v>464</v>
      </c>
      <c r="M443" s="666">
        <f t="shared" ref="M443:M444" si="24">T443/1000</f>
        <v>1800</v>
      </c>
      <c r="N443" s="632">
        <v>30000</v>
      </c>
      <c r="O443" s="633">
        <v>5</v>
      </c>
      <c r="P443" s="633">
        <v>12</v>
      </c>
      <c r="Q443" s="633"/>
      <c r="R443" s="633"/>
      <c r="S443" s="633"/>
      <c r="T443" s="634">
        <f>ROUNDUP(N443*O443*P443,-3)</f>
        <v>1800000</v>
      </c>
      <c r="U443" s="631"/>
      <c r="V443" s="624"/>
      <c r="W443" s="624"/>
      <c r="X443" s="617"/>
      <c r="Y443" s="617"/>
    </row>
    <row r="444" spans="1:25" ht="18" customHeight="1">
      <c r="A444" s="393"/>
      <c r="B444" s="394"/>
      <c r="C444" s="394"/>
      <c r="D444" s="394"/>
      <c r="E444" s="394"/>
      <c r="F444" s="394"/>
      <c r="G444" s="399"/>
      <c r="H444" s="589"/>
      <c r="I444" s="557"/>
      <c r="J444" s="590"/>
      <c r="K444" s="425" t="s">
        <v>860</v>
      </c>
      <c r="L444" s="515" t="s">
        <v>464</v>
      </c>
      <c r="M444" s="666">
        <f t="shared" si="24"/>
        <v>900</v>
      </c>
      <c r="N444" s="632">
        <v>25000</v>
      </c>
      <c r="O444" s="633">
        <v>3</v>
      </c>
      <c r="P444" s="633">
        <v>12</v>
      </c>
      <c r="Q444" s="633"/>
      <c r="R444" s="633"/>
      <c r="S444" s="633"/>
      <c r="T444" s="634">
        <f>ROUNDUP(N444*O444*P444,-3)</f>
        <v>900000</v>
      </c>
      <c r="U444" s="631"/>
      <c r="V444" s="624"/>
      <c r="W444" s="624"/>
      <c r="X444" s="617"/>
      <c r="Y444" s="617"/>
    </row>
    <row r="445" spans="1:25" ht="18" customHeight="1">
      <c r="A445" s="393"/>
      <c r="B445" s="394"/>
      <c r="C445" s="394"/>
      <c r="D445" s="394"/>
      <c r="E445" s="394"/>
      <c r="F445" s="394"/>
      <c r="G445" s="399"/>
      <c r="H445" s="589"/>
      <c r="I445" s="557"/>
      <c r="J445" s="590"/>
      <c r="K445" s="517" t="s">
        <v>795</v>
      </c>
      <c r="L445" s="489"/>
      <c r="M445" s="1824">
        <f>SUM(M446:M449)</f>
        <v>50400</v>
      </c>
      <c r="N445" s="632"/>
      <c r="O445" s="633"/>
      <c r="P445" s="633"/>
      <c r="Q445" s="633"/>
      <c r="R445" s="633"/>
      <c r="S445" s="633"/>
      <c r="T445" s="634"/>
      <c r="U445" s="631"/>
      <c r="V445" s="624"/>
      <c r="W445" s="624"/>
      <c r="X445" s="617"/>
      <c r="Y445" s="617"/>
    </row>
    <row r="446" spans="1:25" ht="18" customHeight="1">
      <c r="A446" s="393"/>
      <c r="B446" s="394"/>
      <c r="C446" s="394"/>
      <c r="D446" s="394"/>
      <c r="E446" s="394"/>
      <c r="F446" s="394"/>
      <c r="G446" s="399"/>
      <c r="H446" s="589"/>
      <c r="I446" s="557"/>
      <c r="J446" s="590"/>
      <c r="K446" s="425" t="s">
        <v>861</v>
      </c>
      <c r="L446" s="441" t="s">
        <v>464</v>
      </c>
      <c r="M446" s="666">
        <f>T446/1000</f>
        <v>6720</v>
      </c>
      <c r="N446" s="632">
        <v>140000</v>
      </c>
      <c r="O446" s="633">
        <v>4</v>
      </c>
      <c r="P446" s="633">
        <v>12</v>
      </c>
      <c r="Q446" s="633"/>
      <c r="R446" s="633"/>
      <c r="S446" s="633"/>
      <c r="T446" s="634">
        <f>ROUNDUP(N446*O446*P446,-3)</f>
        <v>6720000</v>
      </c>
      <c r="U446" s="631"/>
      <c r="V446" s="624"/>
      <c r="W446" s="624"/>
      <c r="X446" s="617"/>
      <c r="Y446" s="617"/>
    </row>
    <row r="447" spans="1:25" ht="18" customHeight="1">
      <c r="A447" s="393"/>
      <c r="B447" s="394"/>
      <c r="C447" s="394"/>
      <c r="D447" s="394"/>
      <c r="E447" s="394"/>
      <c r="F447" s="394"/>
      <c r="G447" s="399"/>
      <c r="H447" s="589"/>
      <c r="I447" s="557"/>
      <c r="J447" s="590"/>
      <c r="K447" s="425" t="s">
        <v>862</v>
      </c>
      <c r="L447" s="441" t="s">
        <v>464</v>
      </c>
      <c r="M447" s="666">
        <f t="shared" ref="M447:M449" si="25">T447/1000</f>
        <v>18480</v>
      </c>
      <c r="N447" s="632">
        <v>140000</v>
      </c>
      <c r="O447" s="633">
        <v>11</v>
      </c>
      <c r="P447" s="633">
        <v>12</v>
      </c>
      <c r="Q447" s="633"/>
      <c r="R447" s="633"/>
      <c r="S447" s="633"/>
      <c r="T447" s="634">
        <f>ROUNDUP(N447*O447*P447,-3)</f>
        <v>18480000</v>
      </c>
      <c r="U447" s="631"/>
      <c r="V447" s="624"/>
      <c r="W447" s="624"/>
      <c r="X447" s="617"/>
      <c r="Y447" s="617"/>
    </row>
    <row r="448" spans="1:25" ht="18" customHeight="1">
      <c r="A448" s="393"/>
      <c r="B448" s="394"/>
      <c r="C448" s="394"/>
      <c r="D448" s="394"/>
      <c r="E448" s="394"/>
      <c r="F448" s="394"/>
      <c r="G448" s="399"/>
      <c r="H448" s="589"/>
      <c r="I448" s="557"/>
      <c r="J448" s="590"/>
      <c r="K448" s="425" t="s">
        <v>863</v>
      </c>
      <c r="L448" s="441" t="s">
        <v>464</v>
      </c>
      <c r="M448" s="666">
        <f t="shared" si="25"/>
        <v>20160</v>
      </c>
      <c r="N448" s="632">
        <v>140000</v>
      </c>
      <c r="O448" s="633">
        <v>12</v>
      </c>
      <c r="P448" s="633">
        <v>12</v>
      </c>
      <c r="Q448" s="633"/>
      <c r="R448" s="633"/>
      <c r="S448" s="633"/>
      <c r="T448" s="634">
        <f>ROUNDUP(N448*O448*P448,-3)</f>
        <v>20160000</v>
      </c>
      <c r="U448" s="631"/>
      <c r="V448" s="624"/>
      <c r="W448" s="624"/>
      <c r="X448" s="617"/>
      <c r="Y448" s="617"/>
    </row>
    <row r="449" spans="1:25" ht="18" customHeight="1">
      <c r="A449" s="393"/>
      <c r="B449" s="394"/>
      <c r="C449" s="394"/>
      <c r="D449" s="394"/>
      <c r="E449" s="394"/>
      <c r="F449" s="394"/>
      <c r="G449" s="399"/>
      <c r="H449" s="589"/>
      <c r="I449" s="557"/>
      <c r="J449" s="590"/>
      <c r="K449" s="425" t="s">
        <v>864</v>
      </c>
      <c r="L449" s="441" t="s">
        <v>464</v>
      </c>
      <c r="M449" s="666">
        <f t="shared" si="25"/>
        <v>5040</v>
      </c>
      <c r="N449" s="632">
        <v>140000</v>
      </c>
      <c r="O449" s="633">
        <v>3</v>
      </c>
      <c r="P449" s="633">
        <v>12</v>
      </c>
      <c r="Q449" s="633"/>
      <c r="R449" s="633"/>
      <c r="S449" s="633"/>
      <c r="T449" s="634">
        <f>ROUNDUP(N449*O449*P449,-3)</f>
        <v>5040000</v>
      </c>
      <c r="U449" s="631"/>
      <c r="V449" s="624"/>
      <c r="W449" s="624"/>
      <c r="X449" s="617"/>
      <c r="Y449" s="617"/>
    </row>
    <row r="450" spans="1:25" ht="18" customHeight="1">
      <c r="A450" s="393"/>
      <c r="B450" s="394"/>
      <c r="C450" s="394"/>
      <c r="D450" s="394"/>
      <c r="E450" s="394"/>
      <c r="F450" s="394"/>
      <c r="G450" s="399"/>
      <c r="H450" s="589"/>
      <c r="I450" s="557"/>
      <c r="J450" s="590"/>
      <c r="K450" s="517" t="s">
        <v>799</v>
      </c>
      <c r="L450" s="518"/>
      <c r="M450" s="1824">
        <f>SUM(M451:M455)</f>
        <v>37320</v>
      </c>
      <c r="N450" s="632"/>
      <c r="O450" s="633"/>
      <c r="P450" s="633"/>
      <c r="Q450" s="633"/>
      <c r="R450" s="633"/>
      <c r="S450" s="633"/>
      <c r="T450" s="634"/>
      <c r="U450" s="631"/>
      <c r="V450" s="624"/>
      <c r="W450" s="624"/>
      <c r="X450" s="617"/>
      <c r="Y450" s="617"/>
    </row>
    <row r="451" spans="1:25" ht="18" customHeight="1">
      <c r="A451" s="393"/>
      <c r="B451" s="394"/>
      <c r="C451" s="394"/>
      <c r="D451" s="394"/>
      <c r="E451" s="394"/>
      <c r="F451" s="394"/>
      <c r="G451" s="399"/>
      <c r="H451" s="589"/>
      <c r="I451" s="557"/>
      <c r="J451" s="590"/>
      <c r="K451" s="425" t="s">
        <v>865</v>
      </c>
      <c r="L451" s="515" t="s">
        <v>464</v>
      </c>
      <c r="M451" s="666">
        <f>T451/1000</f>
        <v>9120</v>
      </c>
      <c r="N451" s="632">
        <v>40000</v>
      </c>
      <c r="O451" s="633">
        <v>19</v>
      </c>
      <c r="P451" s="633">
        <v>12</v>
      </c>
      <c r="Q451" s="633"/>
      <c r="R451" s="633"/>
      <c r="S451" s="633"/>
      <c r="T451" s="634">
        <f>ROUNDUP(N451*O451*P451,-3)</f>
        <v>9120000</v>
      </c>
      <c r="U451" s="631"/>
      <c r="V451" s="624"/>
      <c r="W451" s="624"/>
      <c r="X451" s="617"/>
      <c r="Y451" s="617"/>
    </row>
    <row r="452" spans="1:25" ht="18" customHeight="1">
      <c r="A452" s="393"/>
      <c r="B452" s="394"/>
      <c r="C452" s="394"/>
      <c r="D452" s="394"/>
      <c r="E452" s="394"/>
      <c r="F452" s="394"/>
      <c r="G452" s="399"/>
      <c r="H452" s="589"/>
      <c r="I452" s="557"/>
      <c r="J452" s="590"/>
      <c r="K452" s="425" t="s">
        <v>866</v>
      </c>
      <c r="L452" s="515" t="s">
        <v>464</v>
      </c>
      <c r="M452" s="666">
        <f t="shared" ref="M452:M455" si="26">T452/1000</f>
        <v>1680</v>
      </c>
      <c r="N452" s="632">
        <v>20000</v>
      </c>
      <c r="O452" s="633">
        <v>7</v>
      </c>
      <c r="P452" s="633">
        <v>12</v>
      </c>
      <c r="Q452" s="633"/>
      <c r="R452" s="633"/>
      <c r="S452" s="633"/>
      <c r="T452" s="634">
        <f>ROUNDUP(N452*O452*P452,-3)</f>
        <v>1680000</v>
      </c>
      <c r="U452" s="631"/>
      <c r="V452" s="624"/>
      <c r="W452" s="624"/>
      <c r="X452" s="617"/>
      <c r="Y452" s="617"/>
    </row>
    <row r="453" spans="1:25" ht="18" customHeight="1">
      <c r="A453" s="393"/>
      <c r="B453" s="394"/>
      <c r="C453" s="394"/>
      <c r="D453" s="394"/>
      <c r="E453" s="394"/>
      <c r="F453" s="394"/>
      <c r="G453" s="399"/>
      <c r="H453" s="589"/>
      <c r="I453" s="557"/>
      <c r="J453" s="590"/>
      <c r="K453" s="425" t="s">
        <v>867</v>
      </c>
      <c r="L453" s="441" t="s">
        <v>464</v>
      </c>
      <c r="M453" s="666">
        <f t="shared" si="26"/>
        <v>10200</v>
      </c>
      <c r="N453" s="632">
        <v>50000</v>
      </c>
      <c r="O453" s="633">
        <v>17</v>
      </c>
      <c r="P453" s="633">
        <v>12</v>
      </c>
      <c r="Q453" s="633"/>
      <c r="R453" s="633"/>
      <c r="S453" s="633"/>
      <c r="T453" s="634">
        <f>ROUNDUP(N453*O453*P453,-3)</f>
        <v>10200000</v>
      </c>
      <c r="U453" s="631"/>
      <c r="V453" s="624"/>
      <c r="W453" s="624"/>
      <c r="X453" s="617"/>
      <c r="Y453" s="617"/>
    </row>
    <row r="454" spans="1:25" ht="18" customHeight="1">
      <c r="A454" s="393"/>
      <c r="B454" s="394"/>
      <c r="C454" s="394"/>
      <c r="D454" s="394"/>
      <c r="E454" s="394"/>
      <c r="F454" s="394"/>
      <c r="G454" s="399"/>
      <c r="H454" s="589"/>
      <c r="I454" s="557"/>
      <c r="J454" s="590"/>
      <c r="K454" s="425" t="s">
        <v>868</v>
      </c>
      <c r="L454" s="515" t="s">
        <v>464</v>
      </c>
      <c r="M454" s="666">
        <f t="shared" si="26"/>
        <v>13440</v>
      </c>
      <c r="N454" s="632">
        <v>80000</v>
      </c>
      <c r="O454" s="633">
        <v>14</v>
      </c>
      <c r="P454" s="633">
        <v>12</v>
      </c>
      <c r="Q454" s="633"/>
      <c r="R454" s="633"/>
      <c r="S454" s="633"/>
      <c r="T454" s="634">
        <f>ROUNDUP(N454*O454*P454,-3)</f>
        <v>13440000</v>
      </c>
      <c r="U454" s="631"/>
      <c r="V454" s="624"/>
      <c r="W454" s="624"/>
      <c r="X454" s="617"/>
      <c r="Y454" s="617"/>
    </row>
    <row r="455" spans="1:25" ht="18" customHeight="1">
      <c r="A455" s="393"/>
      <c r="B455" s="394"/>
      <c r="C455" s="394"/>
      <c r="D455" s="394"/>
      <c r="E455" s="394"/>
      <c r="F455" s="394"/>
      <c r="G455" s="399"/>
      <c r="H455" s="589"/>
      <c r="I455" s="557"/>
      <c r="J455" s="590"/>
      <c r="K455" s="425" t="s">
        <v>869</v>
      </c>
      <c r="L455" s="515" t="s">
        <v>464</v>
      </c>
      <c r="M455" s="666">
        <f t="shared" si="26"/>
        <v>2880</v>
      </c>
      <c r="N455" s="632">
        <v>120000</v>
      </c>
      <c r="O455" s="633">
        <v>2</v>
      </c>
      <c r="P455" s="633">
        <v>12</v>
      </c>
      <c r="Q455" s="633"/>
      <c r="R455" s="633"/>
      <c r="S455" s="633"/>
      <c r="T455" s="634">
        <f>ROUNDUP(N455*O455*P455,-3)</f>
        <v>2880000</v>
      </c>
      <c r="U455" s="631"/>
      <c r="V455" s="624"/>
      <c r="W455" s="624"/>
      <c r="X455" s="617"/>
      <c r="Y455" s="617"/>
    </row>
    <row r="456" spans="1:25" ht="18" customHeight="1">
      <c r="A456" s="393"/>
      <c r="B456" s="394"/>
      <c r="C456" s="394"/>
      <c r="D456" s="394"/>
      <c r="E456" s="394"/>
      <c r="F456" s="394"/>
      <c r="G456" s="399"/>
      <c r="H456" s="589"/>
      <c r="I456" s="557"/>
      <c r="J456" s="590"/>
      <c r="K456" s="517" t="s">
        <v>805</v>
      </c>
      <c r="L456" s="489"/>
      <c r="M456" s="1824">
        <f>SUM(M457:M462)</f>
        <v>27360</v>
      </c>
      <c r="N456" s="632"/>
      <c r="O456" s="633"/>
      <c r="P456" s="633"/>
      <c r="Q456" s="633"/>
      <c r="R456" s="633"/>
      <c r="S456" s="633"/>
      <c r="T456" s="634"/>
      <c r="U456" s="631"/>
      <c r="V456" s="624"/>
      <c r="W456" s="624"/>
      <c r="X456" s="617"/>
      <c r="Y456" s="617"/>
    </row>
    <row r="457" spans="1:25" ht="18" customHeight="1">
      <c r="A457" s="393"/>
      <c r="B457" s="394"/>
      <c r="C457" s="394"/>
      <c r="D457" s="394"/>
      <c r="E457" s="394"/>
      <c r="F457" s="394"/>
      <c r="G457" s="399"/>
      <c r="H457" s="589"/>
      <c r="I457" s="557"/>
      <c r="J457" s="590"/>
      <c r="K457" s="425" t="s">
        <v>870</v>
      </c>
      <c r="L457" s="441" t="s">
        <v>464</v>
      </c>
      <c r="M457" s="666">
        <f>T457/1000</f>
        <v>360</v>
      </c>
      <c r="N457" s="632">
        <v>30000</v>
      </c>
      <c r="O457" s="633">
        <v>1</v>
      </c>
      <c r="P457" s="633">
        <v>12</v>
      </c>
      <c r="Q457" s="633"/>
      <c r="R457" s="633"/>
      <c r="S457" s="633"/>
      <c r="T457" s="634">
        <f t="shared" ref="T457:T462" si="27">ROUNDUP(N457*O457*P457,-3)</f>
        <v>360000</v>
      </c>
      <c r="U457" s="631"/>
      <c r="V457" s="624"/>
      <c r="W457" s="624"/>
      <c r="X457" s="617"/>
      <c r="Y457" s="617"/>
    </row>
    <row r="458" spans="1:25" ht="18" customHeight="1">
      <c r="A458" s="393"/>
      <c r="B458" s="394"/>
      <c r="C458" s="394"/>
      <c r="D458" s="394"/>
      <c r="E458" s="394"/>
      <c r="F458" s="394"/>
      <c r="G458" s="399"/>
      <c r="H458" s="589"/>
      <c r="I458" s="557"/>
      <c r="J458" s="590"/>
      <c r="K458" s="425" t="s">
        <v>871</v>
      </c>
      <c r="L458" s="441" t="s">
        <v>464</v>
      </c>
      <c r="M458" s="666">
        <f t="shared" ref="M458:M462" si="28">T458/1000</f>
        <v>1200</v>
      </c>
      <c r="N458" s="632">
        <v>50000</v>
      </c>
      <c r="O458" s="633">
        <v>2</v>
      </c>
      <c r="P458" s="633">
        <v>12</v>
      </c>
      <c r="Q458" s="633"/>
      <c r="R458" s="633"/>
      <c r="S458" s="633"/>
      <c r="T458" s="634">
        <f t="shared" si="27"/>
        <v>1200000</v>
      </c>
      <c r="U458" s="631"/>
      <c r="V458" s="624"/>
      <c r="W458" s="624"/>
      <c r="X458" s="617"/>
      <c r="Y458" s="617"/>
    </row>
    <row r="459" spans="1:25" ht="18" customHeight="1">
      <c r="A459" s="393"/>
      <c r="B459" s="394"/>
      <c r="C459" s="394"/>
      <c r="D459" s="394"/>
      <c r="E459" s="394"/>
      <c r="F459" s="394"/>
      <c r="G459" s="399"/>
      <c r="H459" s="589"/>
      <c r="I459" s="557"/>
      <c r="J459" s="590"/>
      <c r="K459" s="425" t="s">
        <v>872</v>
      </c>
      <c r="L459" s="441" t="s">
        <v>464</v>
      </c>
      <c r="M459" s="666">
        <f t="shared" si="28"/>
        <v>3600</v>
      </c>
      <c r="N459" s="632">
        <v>60000</v>
      </c>
      <c r="O459" s="633">
        <v>5</v>
      </c>
      <c r="P459" s="633">
        <v>12</v>
      </c>
      <c r="Q459" s="633"/>
      <c r="R459" s="633"/>
      <c r="S459" s="633"/>
      <c r="T459" s="634">
        <f t="shared" si="27"/>
        <v>3600000</v>
      </c>
      <c r="U459" s="631"/>
      <c r="V459" s="624"/>
      <c r="W459" s="624"/>
      <c r="X459" s="617"/>
      <c r="Y459" s="617"/>
    </row>
    <row r="460" spans="1:25" ht="18" customHeight="1">
      <c r="A460" s="393"/>
      <c r="B460" s="394"/>
      <c r="C460" s="394"/>
      <c r="D460" s="394"/>
      <c r="E460" s="394"/>
      <c r="F460" s="394"/>
      <c r="G460" s="399"/>
      <c r="H460" s="589"/>
      <c r="I460" s="557"/>
      <c r="J460" s="590"/>
      <c r="K460" s="425" t="s">
        <v>873</v>
      </c>
      <c r="L460" s="441" t="s">
        <v>464</v>
      </c>
      <c r="M460" s="666">
        <f t="shared" si="28"/>
        <v>18240</v>
      </c>
      <c r="N460" s="632">
        <v>80000</v>
      </c>
      <c r="O460" s="633">
        <v>19</v>
      </c>
      <c r="P460" s="633">
        <v>12</v>
      </c>
      <c r="Q460" s="633"/>
      <c r="R460" s="633"/>
      <c r="S460" s="633"/>
      <c r="T460" s="634">
        <f t="shared" si="27"/>
        <v>18240000</v>
      </c>
      <c r="U460" s="631"/>
      <c r="V460" s="624"/>
      <c r="W460" s="624"/>
      <c r="X460" s="617"/>
      <c r="Y460" s="617"/>
    </row>
    <row r="461" spans="1:25" ht="18" customHeight="1">
      <c r="A461" s="393"/>
      <c r="B461" s="394"/>
      <c r="C461" s="394"/>
      <c r="D461" s="394"/>
      <c r="E461" s="394"/>
      <c r="F461" s="394"/>
      <c r="G461" s="399"/>
      <c r="H461" s="589"/>
      <c r="I461" s="557"/>
      <c r="J461" s="590"/>
      <c r="K461" s="425" t="s">
        <v>874</v>
      </c>
      <c r="L461" s="441" t="s">
        <v>464</v>
      </c>
      <c r="M461" s="666">
        <f t="shared" si="28"/>
        <v>3960</v>
      </c>
      <c r="N461" s="632">
        <v>110000</v>
      </c>
      <c r="O461" s="633">
        <v>3</v>
      </c>
      <c r="P461" s="633">
        <v>12</v>
      </c>
      <c r="Q461" s="633"/>
      <c r="R461" s="633"/>
      <c r="S461" s="633"/>
      <c r="T461" s="634">
        <f t="shared" si="27"/>
        <v>3960000</v>
      </c>
      <c r="U461" s="631"/>
      <c r="V461" s="624"/>
      <c r="W461" s="624"/>
      <c r="X461" s="617"/>
      <c r="Y461" s="617"/>
    </row>
    <row r="462" spans="1:25" ht="18" customHeight="1">
      <c r="A462" s="393"/>
      <c r="B462" s="394"/>
      <c r="C462" s="394"/>
      <c r="D462" s="394"/>
      <c r="E462" s="394"/>
      <c r="F462" s="394"/>
      <c r="G462" s="399"/>
      <c r="H462" s="589"/>
      <c r="I462" s="557"/>
      <c r="J462" s="590"/>
      <c r="K462" s="425" t="s">
        <v>875</v>
      </c>
      <c r="L462" s="441" t="s">
        <v>464</v>
      </c>
      <c r="M462" s="666">
        <f t="shared" si="28"/>
        <v>0</v>
      </c>
      <c r="N462" s="632">
        <v>130000</v>
      </c>
      <c r="O462" s="633">
        <v>0</v>
      </c>
      <c r="P462" s="633">
        <v>12</v>
      </c>
      <c r="Q462" s="633"/>
      <c r="R462" s="633"/>
      <c r="S462" s="633"/>
      <c r="T462" s="634">
        <f t="shared" si="27"/>
        <v>0</v>
      </c>
      <c r="U462" s="631"/>
      <c r="V462" s="624"/>
      <c r="W462" s="624"/>
      <c r="X462" s="617"/>
      <c r="Y462" s="617"/>
    </row>
    <row r="463" spans="1:25" ht="18" customHeight="1">
      <c r="A463" s="393"/>
      <c r="B463" s="394"/>
      <c r="C463" s="394"/>
      <c r="D463" s="394"/>
      <c r="E463" s="394"/>
      <c r="F463" s="394"/>
      <c r="G463" s="399"/>
      <c r="H463" s="589"/>
      <c r="I463" s="557"/>
      <c r="J463" s="590"/>
      <c r="K463" s="517" t="s">
        <v>812</v>
      </c>
      <c r="L463" s="489"/>
      <c r="M463" s="1824">
        <f>SUM(M464:M467)</f>
        <v>87613</v>
      </c>
      <c r="N463" s="632"/>
      <c r="O463" s="633"/>
      <c r="P463" s="633"/>
      <c r="Q463" s="633"/>
      <c r="R463" s="633"/>
      <c r="S463" s="633"/>
      <c r="T463" s="634"/>
      <c r="U463" s="631"/>
      <c r="V463" s="624"/>
      <c r="W463" s="624"/>
      <c r="X463" s="617"/>
      <c r="Y463" s="617"/>
    </row>
    <row r="464" spans="1:25" ht="18" customHeight="1">
      <c r="A464" s="393"/>
      <c r="B464" s="394"/>
      <c r="C464" s="394"/>
      <c r="D464" s="394"/>
      <c r="E464" s="394"/>
      <c r="F464" s="394"/>
      <c r="G464" s="399"/>
      <c r="H464" s="589"/>
      <c r="I464" s="557"/>
      <c r="J464" s="590"/>
      <c r="K464" s="425" t="s">
        <v>876</v>
      </c>
      <c r="L464" s="441" t="s">
        <v>464</v>
      </c>
      <c r="M464" s="666">
        <f>T464/1000</f>
        <v>14092</v>
      </c>
      <c r="N464" s="632">
        <f>N417</f>
        <v>2348600</v>
      </c>
      <c r="O464" s="635">
        <v>1.5</v>
      </c>
      <c r="P464" s="633">
        <v>4</v>
      </c>
      <c r="Q464" s="633"/>
      <c r="R464" s="633"/>
      <c r="S464" s="633"/>
      <c r="T464" s="634">
        <f>ROUNDUP(N464*O464*P464,-3)</f>
        <v>14092000</v>
      </c>
      <c r="U464" s="631"/>
      <c r="V464" s="624"/>
      <c r="W464" s="624"/>
      <c r="X464" s="617"/>
      <c r="Y464" s="617"/>
    </row>
    <row r="465" spans="1:25" ht="18" customHeight="1">
      <c r="A465" s="393"/>
      <c r="B465" s="394"/>
      <c r="C465" s="394"/>
      <c r="D465" s="394"/>
      <c r="E465" s="394"/>
      <c r="F465" s="394"/>
      <c r="G465" s="399"/>
      <c r="H465" s="589"/>
      <c r="I465" s="557"/>
      <c r="J465" s="590"/>
      <c r="K465" s="425" t="s">
        <v>877</v>
      </c>
      <c r="L465" s="515" t="s">
        <v>464</v>
      </c>
      <c r="M465" s="666">
        <f t="shared" ref="M465:M467" si="29">T465/1000</f>
        <v>35480</v>
      </c>
      <c r="N465" s="632">
        <f>N418</f>
        <v>2150290</v>
      </c>
      <c r="O465" s="635">
        <v>1.5</v>
      </c>
      <c r="P465" s="633">
        <v>11</v>
      </c>
      <c r="Q465" s="633"/>
      <c r="R465" s="633"/>
      <c r="S465" s="633"/>
      <c r="T465" s="634">
        <f>ROUNDUP(N465*O465*P465,-3)</f>
        <v>35480000</v>
      </c>
      <c r="U465" s="631"/>
      <c r="V465" s="624"/>
      <c r="W465" s="624"/>
      <c r="X465" s="617"/>
      <c r="Y465" s="617"/>
    </row>
    <row r="466" spans="1:25" ht="18" customHeight="1">
      <c r="A466" s="393"/>
      <c r="B466" s="394"/>
      <c r="C466" s="394"/>
      <c r="D466" s="394"/>
      <c r="E466" s="394"/>
      <c r="F466" s="394"/>
      <c r="G466" s="399"/>
      <c r="H466" s="589"/>
      <c r="I466" s="557"/>
      <c r="J466" s="590"/>
      <c r="K466" s="425" t="s">
        <v>878</v>
      </c>
      <c r="L466" s="515" t="s">
        <v>464</v>
      </c>
      <c r="M466" s="666">
        <f t="shared" si="29"/>
        <v>32689</v>
      </c>
      <c r="N466" s="632">
        <f>N419</f>
        <v>1816030</v>
      </c>
      <c r="O466" s="635">
        <v>1.5</v>
      </c>
      <c r="P466" s="633">
        <v>12</v>
      </c>
      <c r="Q466" s="633"/>
      <c r="R466" s="633"/>
      <c r="S466" s="633"/>
      <c r="T466" s="634">
        <f>ROUNDUP(N466*O466*P466,-3)</f>
        <v>32689000</v>
      </c>
      <c r="U466" s="631"/>
      <c r="V466" s="624"/>
      <c r="W466" s="624"/>
      <c r="X466" s="617"/>
      <c r="Y466" s="617"/>
    </row>
    <row r="467" spans="1:25" ht="18" customHeight="1">
      <c r="A467" s="393"/>
      <c r="B467" s="394"/>
      <c r="C467" s="394"/>
      <c r="D467" s="394"/>
      <c r="E467" s="394"/>
      <c r="F467" s="398"/>
      <c r="G467" s="395"/>
      <c r="H467" s="589"/>
      <c r="I467" s="556"/>
      <c r="J467" s="590"/>
      <c r="K467" s="425" t="s">
        <v>879</v>
      </c>
      <c r="L467" s="515" t="s">
        <v>464</v>
      </c>
      <c r="M467" s="666">
        <f t="shared" si="29"/>
        <v>5352</v>
      </c>
      <c r="N467" s="632">
        <f>N420</f>
        <v>1189120</v>
      </c>
      <c r="O467" s="635">
        <v>1.5</v>
      </c>
      <c r="P467" s="633">
        <v>3</v>
      </c>
      <c r="Q467" s="633"/>
      <c r="R467" s="633"/>
      <c r="S467" s="633"/>
      <c r="T467" s="634">
        <f>ROUNDUP(N467*O467*P467,-3)</f>
        <v>5352000</v>
      </c>
      <c r="U467" s="631"/>
      <c r="V467" s="624"/>
      <c r="W467" s="624"/>
      <c r="X467" s="617"/>
      <c r="Y467" s="617"/>
    </row>
    <row r="468" spans="1:25" ht="18" customHeight="1">
      <c r="A468" s="393"/>
      <c r="B468" s="394"/>
      <c r="C468" s="394"/>
      <c r="D468" s="394"/>
      <c r="E468" s="394"/>
      <c r="F468" s="398"/>
      <c r="G468" s="395"/>
      <c r="H468" s="589"/>
      <c r="I468" s="556"/>
      <c r="J468" s="590"/>
      <c r="K468" s="517" t="s">
        <v>880</v>
      </c>
      <c r="L468" s="489"/>
      <c r="M468" s="1824">
        <f>M469</f>
        <v>54000</v>
      </c>
      <c r="N468" s="632"/>
      <c r="O468" s="633"/>
      <c r="P468" s="633"/>
      <c r="Q468" s="633"/>
      <c r="R468" s="633"/>
      <c r="S468" s="633"/>
      <c r="T468" s="634"/>
      <c r="U468" s="631"/>
      <c r="V468" s="624"/>
      <c r="W468" s="624"/>
      <c r="X468" s="617"/>
      <c r="Y468" s="617"/>
    </row>
    <row r="469" spans="1:25" ht="18" customHeight="1">
      <c r="A469" s="393"/>
      <c r="B469" s="394"/>
      <c r="C469" s="394"/>
      <c r="D469" s="394"/>
      <c r="E469" s="394"/>
      <c r="F469" s="398"/>
      <c r="G469" s="395"/>
      <c r="H469" s="589"/>
      <c r="I469" s="556"/>
      <c r="J469" s="590"/>
      <c r="K469" s="425" t="s">
        <v>881</v>
      </c>
      <c r="L469" s="441" t="s">
        <v>464</v>
      </c>
      <c r="M469" s="666">
        <f>T469/1000</f>
        <v>54000</v>
      </c>
      <c r="N469" s="632">
        <v>150000</v>
      </c>
      <c r="O469" s="633">
        <v>30</v>
      </c>
      <c r="P469" s="633">
        <v>12</v>
      </c>
      <c r="Q469" s="633"/>
      <c r="R469" s="633"/>
      <c r="S469" s="633"/>
      <c r="T469" s="634">
        <f>ROUNDUP(N469*O469*P469,-3)</f>
        <v>54000000</v>
      </c>
      <c r="U469" s="631"/>
      <c r="V469" s="624"/>
      <c r="W469" s="624"/>
      <c r="X469" s="617"/>
      <c r="Y469" s="617"/>
    </row>
    <row r="470" spans="1:25" ht="18" customHeight="1">
      <c r="A470" s="393"/>
      <c r="B470" s="394"/>
      <c r="C470" s="394"/>
      <c r="D470" s="394"/>
      <c r="E470" s="394"/>
      <c r="F470" s="398"/>
      <c r="G470" s="395"/>
      <c r="H470" s="589"/>
      <c r="I470" s="556"/>
      <c r="J470" s="590"/>
      <c r="K470" s="517" t="s">
        <v>882</v>
      </c>
      <c r="L470" s="489"/>
      <c r="M470" s="1824">
        <f>M471</f>
        <v>10800</v>
      </c>
      <c r="N470" s="632"/>
      <c r="O470" s="633"/>
      <c r="P470" s="633"/>
      <c r="Q470" s="633"/>
      <c r="R470" s="633"/>
      <c r="S470" s="633"/>
      <c r="T470" s="634"/>
      <c r="U470" s="631"/>
      <c r="V470" s="624"/>
      <c r="W470" s="624"/>
      <c r="X470" s="617"/>
      <c r="Y470" s="617"/>
    </row>
    <row r="471" spans="1:25" ht="18" customHeight="1">
      <c r="A471" s="393"/>
      <c r="B471" s="394"/>
      <c r="C471" s="394"/>
      <c r="D471" s="394"/>
      <c r="E471" s="394"/>
      <c r="F471" s="398"/>
      <c r="G471" s="395"/>
      <c r="H471" s="589"/>
      <c r="I471" s="556"/>
      <c r="J471" s="590"/>
      <c r="K471" s="425" t="s">
        <v>883</v>
      </c>
      <c r="L471" s="441" t="s">
        <v>464</v>
      </c>
      <c r="M471" s="666">
        <f>T471/1000</f>
        <v>10800</v>
      </c>
      <c r="N471" s="632">
        <v>30000</v>
      </c>
      <c r="O471" s="633">
        <v>30</v>
      </c>
      <c r="P471" s="633">
        <v>12</v>
      </c>
      <c r="Q471" s="633"/>
      <c r="R471" s="633"/>
      <c r="S471" s="633"/>
      <c r="T471" s="634">
        <f>ROUNDUP(N471*O471*P471,-3)</f>
        <v>10800000</v>
      </c>
      <c r="U471" s="631"/>
      <c r="V471" s="624"/>
      <c r="W471" s="624"/>
      <c r="X471" s="617"/>
      <c r="Y471" s="617"/>
    </row>
    <row r="472" spans="1:25" ht="18" customHeight="1">
      <c r="A472" s="393"/>
      <c r="B472" s="394"/>
      <c r="C472" s="394"/>
      <c r="D472" s="394"/>
      <c r="E472" s="394"/>
      <c r="F472" s="398"/>
      <c r="G472" s="395"/>
      <c r="H472" s="589"/>
      <c r="I472" s="556"/>
      <c r="J472" s="590"/>
      <c r="K472" s="517" t="s">
        <v>884</v>
      </c>
      <c r="L472" s="489"/>
      <c r="M472" s="1824">
        <f>M473</f>
        <v>2400</v>
      </c>
      <c r="N472" s="632"/>
      <c r="O472" s="633"/>
      <c r="P472" s="633"/>
      <c r="Q472" s="633"/>
      <c r="R472" s="633"/>
      <c r="S472" s="633"/>
      <c r="T472" s="634"/>
      <c r="U472" s="631"/>
      <c r="V472" s="624"/>
      <c r="W472" s="624"/>
      <c r="X472" s="617"/>
      <c r="Y472" s="617"/>
    </row>
    <row r="473" spans="1:25" ht="18" customHeight="1">
      <c r="A473" s="393"/>
      <c r="B473" s="394"/>
      <c r="C473" s="394"/>
      <c r="D473" s="394"/>
      <c r="E473" s="394"/>
      <c r="F473" s="394"/>
      <c r="G473" s="399"/>
      <c r="H473" s="589"/>
      <c r="I473" s="557"/>
      <c r="J473" s="590"/>
      <c r="K473" s="425" t="s">
        <v>885</v>
      </c>
      <c r="L473" s="441" t="s">
        <v>464</v>
      </c>
      <c r="M473" s="666">
        <f>T473/1000</f>
        <v>2400</v>
      </c>
      <c r="N473" s="632">
        <v>50000</v>
      </c>
      <c r="O473" s="633">
        <v>4</v>
      </c>
      <c r="P473" s="633">
        <v>12</v>
      </c>
      <c r="Q473" s="633"/>
      <c r="R473" s="633"/>
      <c r="S473" s="633"/>
      <c r="T473" s="634">
        <f>ROUNDUP(N473*O473*P473,-3)</f>
        <v>2400000</v>
      </c>
      <c r="U473" s="631"/>
      <c r="V473" s="624"/>
      <c r="W473" s="624"/>
      <c r="X473" s="617"/>
      <c r="Y473" s="617"/>
    </row>
    <row r="474" spans="1:25" ht="18" customHeight="1">
      <c r="A474" s="393"/>
      <c r="B474" s="394"/>
      <c r="C474" s="394"/>
      <c r="D474" s="394"/>
      <c r="E474" s="394"/>
      <c r="F474" s="394"/>
      <c r="G474" s="399"/>
      <c r="H474" s="589"/>
      <c r="I474" s="557"/>
      <c r="J474" s="590"/>
      <c r="K474" s="517" t="s">
        <v>821</v>
      </c>
      <c r="L474" s="518"/>
      <c r="M474" s="1824">
        <f>SUM(M475:M477)</f>
        <v>600</v>
      </c>
      <c r="N474" s="632"/>
      <c r="O474" s="633"/>
      <c r="P474" s="633"/>
      <c r="Q474" s="633"/>
      <c r="R474" s="633"/>
      <c r="S474" s="633"/>
      <c r="T474" s="634"/>
      <c r="U474" s="631"/>
      <c r="V474" s="624"/>
      <c r="W474" s="624"/>
      <c r="X474" s="617"/>
      <c r="Y474" s="617"/>
    </row>
    <row r="475" spans="1:25" ht="18" customHeight="1">
      <c r="A475" s="393"/>
      <c r="B475" s="394"/>
      <c r="C475" s="394"/>
      <c r="D475" s="394"/>
      <c r="E475" s="394"/>
      <c r="F475" s="394"/>
      <c r="G475" s="399"/>
      <c r="H475" s="589"/>
      <c r="I475" s="557"/>
      <c r="J475" s="590"/>
      <c r="K475" s="425" t="s">
        <v>886</v>
      </c>
      <c r="L475" s="515" t="s">
        <v>464</v>
      </c>
      <c r="M475" s="666">
        <f>T475/1000</f>
        <v>120</v>
      </c>
      <c r="N475" s="632">
        <v>10000</v>
      </c>
      <c r="O475" s="633">
        <v>1</v>
      </c>
      <c r="P475" s="633">
        <v>12</v>
      </c>
      <c r="Q475" s="633"/>
      <c r="R475" s="633"/>
      <c r="S475" s="633"/>
      <c r="T475" s="634">
        <f>ROUNDUP(N475*O475*P475,-3)</f>
        <v>120000</v>
      </c>
      <c r="U475" s="631"/>
      <c r="V475" s="624"/>
      <c r="W475" s="624"/>
      <c r="X475" s="617"/>
      <c r="Y475" s="617"/>
    </row>
    <row r="476" spans="1:25" ht="18" customHeight="1">
      <c r="A476" s="393"/>
      <c r="B476" s="394"/>
      <c r="C476" s="394"/>
      <c r="D476" s="394"/>
      <c r="E476" s="394"/>
      <c r="F476" s="394"/>
      <c r="G476" s="399"/>
      <c r="H476" s="589"/>
      <c r="I476" s="557"/>
      <c r="J476" s="590"/>
      <c r="K476" s="425" t="s">
        <v>887</v>
      </c>
      <c r="L476" s="515" t="s">
        <v>464</v>
      </c>
      <c r="M476" s="666">
        <f t="shared" ref="M476:M477" si="30">T476/1000</f>
        <v>360</v>
      </c>
      <c r="N476" s="632">
        <v>10000</v>
      </c>
      <c r="O476" s="633">
        <v>3</v>
      </c>
      <c r="P476" s="633">
        <v>12</v>
      </c>
      <c r="Q476" s="633"/>
      <c r="R476" s="633"/>
      <c r="S476" s="633"/>
      <c r="T476" s="634">
        <f>ROUNDUP(N476*O476*P476,-3)</f>
        <v>360000</v>
      </c>
      <c r="U476" s="631"/>
      <c r="V476" s="624"/>
      <c r="W476" s="624"/>
      <c r="X476" s="617"/>
      <c r="Y476" s="617"/>
    </row>
    <row r="477" spans="1:25" ht="18" customHeight="1">
      <c r="A477" s="393"/>
      <c r="B477" s="394"/>
      <c r="C477" s="394"/>
      <c r="D477" s="394"/>
      <c r="E477" s="394"/>
      <c r="F477" s="394"/>
      <c r="G477" s="399"/>
      <c r="H477" s="589"/>
      <c r="I477" s="557"/>
      <c r="J477" s="590"/>
      <c r="K477" s="425" t="s">
        <v>888</v>
      </c>
      <c r="L477" s="441" t="s">
        <v>464</v>
      </c>
      <c r="M477" s="666">
        <f t="shared" si="30"/>
        <v>120</v>
      </c>
      <c r="N477" s="632">
        <v>10000</v>
      </c>
      <c r="O477" s="633">
        <v>1</v>
      </c>
      <c r="P477" s="633">
        <v>12</v>
      </c>
      <c r="Q477" s="633"/>
      <c r="R477" s="633"/>
      <c r="S477" s="633"/>
      <c r="T477" s="634">
        <f>ROUNDUP(N477*O477*P477,-3)</f>
        <v>120000</v>
      </c>
      <c r="U477" s="631"/>
      <c r="V477" s="624"/>
      <c r="W477" s="624"/>
      <c r="X477" s="617"/>
      <c r="Y477" s="617"/>
    </row>
    <row r="478" spans="1:25" ht="18" customHeight="1">
      <c r="A478" s="393"/>
      <c r="B478" s="394"/>
      <c r="C478" s="394"/>
      <c r="D478" s="394"/>
      <c r="E478" s="394"/>
      <c r="F478" s="394"/>
      <c r="G478" s="399"/>
      <c r="H478" s="589"/>
      <c r="I478" s="557"/>
      <c r="J478" s="590"/>
      <c r="K478" s="517" t="s">
        <v>828</v>
      </c>
      <c r="L478" s="489"/>
      <c r="M478" s="1824">
        <f>SUM(M479:M482)</f>
        <v>43913</v>
      </c>
      <c r="N478" s="632"/>
      <c r="O478" s="633"/>
      <c r="P478" s="633"/>
      <c r="Q478" s="633"/>
      <c r="R478" s="633"/>
      <c r="S478" s="633"/>
      <c r="T478" s="634"/>
      <c r="U478" s="631"/>
      <c r="V478" s="624"/>
      <c r="W478" s="624"/>
      <c r="X478" s="617"/>
      <c r="Y478" s="617"/>
    </row>
    <row r="479" spans="1:25" ht="18" customHeight="1">
      <c r="A479" s="393"/>
      <c r="B479" s="394"/>
      <c r="C479" s="394"/>
      <c r="D479" s="394"/>
      <c r="E479" s="394"/>
      <c r="F479" s="394"/>
      <c r="G479" s="399"/>
      <c r="H479" s="589"/>
      <c r="I479" s="557"/>
      <c r="J479" s="590"/>
      <c r="K479" s="425" t="s">
        <v>889</v>
      </c>
      <c r="L479" s="441" t="s">
        <v>464</v>
      </c>
      <c r="M479" s="666">
        <f>T479/1000</f>
        <v>6915</v>
      </c>
      <c r="N479" s="632">
        <f>U479</f>
        <v>4516047</v>
      </c>
      <c r="O479" s="633">
        <v>209</v>
      </c>
      <c r="P479" s="633">
        <v>8</v>
      </c>
      <c r="Q479" s="633">
        <v>10</v>
      </c>
      <c r="R479" s="633">
        <v>4</v>
      </c>
      <c r="S479" s="633"/>
      <c r="T479" s="634">
        <f>ROUNDUP(N479/O479*P479*Q479*R479,-3)</f>
        <v>6915000</v>
      </c>
      <c r="U479" s="631">
        <f>ROUNDUP(N417+N422+N427+(N432*O432/12)+(N437*O437)+N446+N460+(N464*O464/12)+N469+N471,0)</f>
        <v>4516047</v>
      </c>
      <c r="V479" s="624"/>
      <c r="W479" s="624"/>
      <c r="X479" s="617"/>
      <c r="Y479" s="617"/>
    </row>
    <row r="480" spans="1:25" ht="18" customHeight="1">
      <c r="A480" s="393"/>
      <c r="B480" s="394"/>
      <c r="C480" s="394"/>
      <c r="D480" s="394"/>
      <c r="E480" s="394"/>
      <c r="F480" s="394"/>
      <c r="G480" s="399"/>
      <c r="H480" s="589"/>
      <c r="I480" s="557"/>
      <c r="J480" s="590"/>
      <c r="K480" s="425" t="s">
        <v>890</v>
      </c>
      <c r="L480" s="441" t="s">
        <v>464</v>
      </c>
      <c r="M480" s="666">
        <f t="shared" ref="M480:M482" si="31">T480/1000</f>
        <v>17525</v>
      </c>
      <c r="N480" s="632">
        <f>U480</f>
        <v>4162141</v>
      </c>
      <c r="O480" s="633">
        <v>209</v>
      </c>
      <c r="P480" s="633">
        <v>8</v>
      </c>
      <c r="Q480" s="633">
        <v>10</v>
      </c>
      <c r="R480" s="633">
        <v>11</v>
      </c>
      <c r="S480" s="633"/>
      <c r="T480" s="634">
        <f>ROUNDUP(N480/O480*P480*Q480*R480,-3)</f>
        <v>17525000</v>
      </c>
      <c r="U480" s="631">
        <f>ROUNDUP(N418+N423+N428+(N433*O433/12)+(N438*O438)+N447+N459+(N465*O465/12)+N469+N471,0)</f>
        <v>4162141</v>
      </c>
      <c r="V480" s="624"/>
      <c r="W480" s="624"/>
      <c r="X480" s="617"/>
      <c r="Y480" s="617"/>
    </row>
    <row r="481" spans="1:25" ht="18" customHeight="1">
      <c r="A481" s="393"/>
      <c r="B481" s="394"/>
      <c r="C481" s="394"/>
      <c r="D481" s="394"/>
      <c r="E481" s="394"/>
      <c r="F481" s="394"/>
      <c r="G481" s="399"/>
      <c r="H481" s="589"/>
      <c r="I481" s="557"/>
      <c r="J481" s="590"/>
      <c r="K481" s="425" t="s">
        <v>891</v>
      </c>
      <c r="L481" s="515" t="s">
        <v>464</v>
      </c>
      <c r="M481" s="666">
        <f t="shared" si="31"/>
        <v>16565</v>
      </c>
      <c r="N481" s="632">
        <f>U481</f>
        <v>3606183</v>
      </c>
      <c r="O481" s="633">
        <v>209</v>
      </c>
      <c r="P481" s="633">
        <v>8</v>
      </c>
      <c r="Q481" s="633">
        <v>10</v>
      </c>
      <c r="R481" s="633">
        <v>12</v>
      </c>
      <c r="S481" s="633"/>
      <c r="T481" s="634">
        <f>ROUNDUP(N481/O481*P481*Q481*R481,-3)</f>
        <v>16565000</v>
      </c>
      <c r="U481" s="631">
        <f>ROUNDUP(N419+N424+N429+(N434*O434/12)+(N439*O439)+N448+N458+(N466*O466/12)+N469+N471,0)</f>
        <v>3606183</v>
      </c>
      <c r="V481" s="624"/>
      <c r="W481" s="624"/>
      <c r="X481" s="617"/>
      <c r="Y481" s="617"/>
    </row>
    <row r="482" spans="1:25" ht="18" customHeight="1">
      <c r="A482" s="393"/>
      <c r="B482" s="394"/>
      <c r="C482" s="394"/>
      <c r="D482" s="394"/>
      <c r="E482" s="394"/>
      <c r="F482" s="394"/>
      <c r="G482" s="399"/>
      <c r="H482" s="589"/>
      <c r="I482" s="557"/>
      <c r="J482" s="590"/>
      <c r="K482" s="425" t="s">
        <v>892</v>
      </c>
      <c r="L482" s="515" t="s">
        <v>464</v>
      </c>
      <c r="M482" s="666">
        <f t="shared" si="31"/>
        <v>2908</v>
      </c>
      <c r="N482" s="632">
        <f>U482</f>
        <v>2532230</v>
      </c>
      <c r="O482" s="633">
        <v>209</v>
      </c>
      <c r="P482" s="633">
        <v>8</v>
      </c>
      <c r="Q482" s="633">
        <v>10</v>
      </c>
      <c r="R482" s="633">
        <v>3</v>
      </c>
      <c r="S482" s="633"/>
      <c r="T482" s="634">
        <f>ROUNDUP(N482/O482*P482*Q482*R482,-3)</f>
        <v>2908000</v>
      </c>
      <c r="U482" s="631">
        <f>ROUNDUP(N420+N425+N430+(N435*O435/12)+(N440*O440)+N449+N4324+(N467*O467/12)+N469+N471,0)</f>
        <v>2532230</v>
      </c>
      <c r="V482" s="624"/>
      <c r="W482" s="624"/>
      <c r="X482" s="617"/>
      <c r="Y482" s="617"/>
    </row>
    <row r="483" spans="1:25" ht="18" customHeight="1">
      <c r="A483" s="393"/>
      <c r="B483" s="394"/>
      <c r="C483" s="394"/>
      <c r="D483" s="394"/>
      <c r="E483" s="394"/>
      <c r="F483" s="394"/>
      <c r="G483" s="399"/>
      <c r="H483" s="589"/>
      <c r="I483" s="557"/>
      <c r="J483" s="590"/>
      <c r="K483" s="517" t="s">
        <v>893</v>
      </c>
      <c r="L483" s="518"/>
      <c r="M483" s="1824">
        <f>SUM(M484:M487)</f>
        <v>88922</v>
      </c>
      <c r="N483" s="632"/>
      <c r="O483" s="633"/>
      <c r="P483" s="633"/>
      <c r="Q483" s="633"/>
      <c r="R483" s="633"/>
      <c r="S483" s="633"/>
      <c r="T483" s="634"/>
      <c r="U483" s="631"/>
      <c r="V483" s="624"/>
      <c r="W483" s="624"/>
      <c r="X483" s="617"/>
      <c r="Y483" s="617"/>
    </row>
    <row r="484" spans="1:25" ht="18" customHeight="1">
      <c r="A484" s="393"/>
      <c r="B484" s="394"/>
      <c r="C484" s="394"/>
      <c r="D484" s="394"/>
      <c r="E484" s="394"/>
      <c r="F484" s="394"/>
      <c r="G484" s="399"/>
      <c r="H484" s="589"/>
      <c r="I484" s="557"/>
      <c r="J484" s="590"/>
      <c r="K484" s="425" t="s">
        <v>894</v>
      </c>
      <c r="L484" s="515" t="s">
        <v>464</v>
      </c>
      <c r="M484" s="666">
        <f>T484/1000</f>
        <v>14002</v>
      </c>
      <c r="N484" s="632">
        <f>N479</f>
        <v>4516047</v>
      </c>
      <c r="O484" s="633">
        <v>209</v>
      </c>
      <c r="P484" s="636">
        <v>1.5</v>
      </c>
      <c r="Q484" s="633">
        <v>9</v>
      </c>
      <c r="R484" s="633">
        <v>4</v>
      </c>
      <c r="S484" s="633">
        <v>12</v>
      </c>
      <c r="T484" s="634">
        <f>ROUNDUP(N484/O484*P484*Q484*R484*S484,-3)</f>
        <v>14002000</v>
      </c>
      <c r="U484" s="631"/>
      <c r="V484" s="624"/>
      <c r="W484" s="624"/>
      <c r="X484" s="617"/>
      <c r="Y484" s="617"/>
    </row>
    <row r="485" spans="1:25" ht="18" customHeight="1">
      <c r="A485" s="393"/>
      <c r="B485" s="394"/>
      <c r="C485" s="394"/>
      <c r="D485" s="394"/>
      <c r="E485" s="394"/>
      <c r="F485" s="394"/>
      <c r="G485" s="399"/>
      <c r="H485" s="589"/>
      <c r="I485" s="557"/>
      <c r="J485" s="590"/>
      <c r="K485" s="425" t="s">
        <v>895</v>
      </c>
      <c r="L485" s="515" t="s">
        <v>464</v>
      </c>
      <c r="M485" s="666">
        <f t="shared" ref="M485:M487" si="32">T485/1000</f>
        <v>35488</v>
      </c>
      <c r="N485" s="632">
        <f>N480</f>
        <v>4162141</v>
      </c>
      <c r="O485" s="633">
        <v>209</v>
      </c>
      <c r="P485" s="636">
        <v>1.5</v>
      </c>
      <c r="Q485" s="633">
        <v>9</v>
      </c>
      <c r="R485" s="633">
        <v>11</v>
      </c>
      <c r="S485" s="633">
        <v>12</v>
      </c>
      <c r="T485" s="634">
        <f>ROUNDUP(N485/O485*P485*Q485*R485*S485,-3)</f>
        <v>35488000</v>
      </c>
      <c r="U485" s="631"/>
      <c r="V485" s="624"/>
      <c r="W485" s="624"/>
      <c r="X485" s="617"/>
      <c r="Y485" s="617"/>
    </row>
    <row r="486" spans="1:25" ht="18" customHeight="1">
      <c r="A486" s="393"/>
      <c r="B486" s="394"/>
      <c r="C486" s="394"/>
      <c r="D486" s="394"/>
      <c r="E486" s="394"/>
      <c r="F486" s="394"/>
      <c r="G486" s="399"/>
      <c r="H486" s="589"/>
      <c r="I486" s="557"/>
      <c r="J486" s="590"/>
      <c r="K486" s="425" t="s">
        <v>896</v>
      </c>
      <c r="L486" s="515" t="s">
        <v>464</v>
      </c>
      <c r="M486" s="666">
        <f t="shared" si="32"/>
        <v>33543</v>
      </c>
      <c r="N486" s="632">
        <f>N481</f>
        <v>3606183</v>
      </c>
      <c r="O486" s="633">
        <v>209</v>
      </c>
      <c r="P486" s="636">
        <v>1.5</v>
      </c>
      <c r="Q486" s="633">
        <v>9</v>
      </c>
      <c r="R486" s="633">
        <v>12</v>
      </c>
      <c r="S486" s="633">
        <v>12</v>
      </c>
      <c r="T486" s="634">
        <f>ROUNDUP(N486/O486*P486*Q486*R486*S486,-3)</f>
        <v>33543000</v>
      </c>
      <c r="U486" s="631"/>
      <c r="V486" s="624"/>
      <c r="W486" s="624"/>
      <c r="X486" s="617"/>
      <c r="Y486" s="617"/>
    </row>
    <row r="487" spans="1:25" ht="18" customHeight="1">
      <c r="A487" s="393"/>
      <c r="B487" s="394"/>
      <c r="C487" s="394"/>
      <c r="D487" s="394"/>
      <c r="E487" s="394"/>
      <c r="F487" s="394"/>
      <c r="G487" s="399"/>
      <c r="H487" s="589"/>
      <c r="I487" s="557"/>
      <c r="J487" s="590"/>
      <c r="K487" s="425" t="s">
        <v>897</v>
      </c>
      <c r="L487" s="441" t="s">
        <v>464</v>
      </c>
      <c r="M487" s="666">
        <f t="shared" si="32"/>
        <v>5889</v>
      </c>
      <c r="N487" s="632">
        <f>N482</f>
        <v>2532230</v>
      </c>
      <c r="O487" s="633">
        <v>209</v>
      </c>
      <c r="P487" s="636">
        <v>1.5</v>
      </c>
      <c r="Q487" s="633">
        <v>9</v>
      </c>
      <c r="R487" s="633">
        <v>3</v>
      </c>
      <c r="S487" s="633">
        <v>12</v>
      </c>
      <c r="T487" s="634">
        <f>ROUNDUP(N487/O487*P487*Q487*R487*S487,-3)</f>
        <v>5889000</v>
      </c>
      <c r="U487" s="631"/>
      <c r="V487" s="624"/>
      <c r="W487" s="624"/>
      <c r="X487" s="617"/>
      <c r="Y487" s="617"/>
    </row>
    <row r="488" spans="1:25" ht="18" customHeight="1">
      <c r="A488" s="393"/>
      <c r="B488" s="394"/>
      <c r="C488" s="394"/>
      <c r="D488" s="394"/>
      <c r="E488" s="394"/>
      <c r="F488" s="394"/>
      <c r="G488" s="399"/>
      <c r="H488" s="589"/>
      <c r="I488" s="557"/>
      <c r="J488" s="590"/>
      <c r="K488" s="517" t="s">
        <v>898</v>
      </c>
      <c r="L488" s="489"/>
      <c r="M488" s="1824">
        <f>SUM(M489:M492)</f>
        <v>118563</v>
      </c>
      <c r="N488" s="632"/>
      <c r="O488" s="633"/>
      <c r="P488" s="633"/>
      <c r="Q488" s="633"/>
      <c r="R488" s="633"/>
      <c r="S488" s="633"/>
      <c r="T488" s="634"/>
      <c r="U488" s="631"/>
      <c r="V488" s="624"/>
      <c r="W488" s="624"/>
      <c r="X488" s="617"/>
      <c r="Y488" s="617"/>
    </row>
    <row r="489" spans="1:25" ht="18" customHeight="1">
      <c r="A489" s="393"/>
      <c r="B489" s="394"/>
      <c r="C489" s="394"/>
      <c r="D489" s="394"/>
      <c r="E489" s="394"/>
      <c r="F489" s="394"/>
      <c r="G489" s="399"/>
      <c r="H489" s="589"/>
      <c r="I489" s="557"/>
      <c r="J489" s="590"/>
      <c r="K489" s="425" t="s">
        <v>899</v>
      </c>
      <c r="L489" s="441" t="s">
        <v>464</v>
      </c>
      <c r="M489" s="666">
        <f>T489/1000</f>
        <v>18670</v>
      </c>
      <c r="N489" s="632">
        <f>N479</f>
        <v>4516047</v>
      </c>
      <c r="O489" s="633">
        <v>209</v>
      </c>
      <c r="P489" s="636">
        <v>1.5</v>
      </c>
      <c r="Q489" s="633">
        <v>12</v>
      </c>
      <c r="R489" s="633">
        <v>4</v>
      </c>
      <c r="S489" s="633">
        <v>12</v>
      </c>
      <c r="T489" s="634">
        <f>ROUNDUP(N489/O489*P489*Q489*R489*S489,-3)</f>
        <v>18670000</v>
      </c>
      <c r="U489" s="631"/>
      <c r="V489" s="624"/>
      <c r="W489" s="624"/>
      <c r="X489" s="617"/>
      <c r="Y489" s="617"/>
    </row>
    <row r="490" spans="1:25" ht="18" customHeight="1">
      <c r="A490" s="393"/>
      <c r="B490" s="394"/>
      <c r="C490" s="394"/>
      <c r="D490" s="394"/>
      <c r="E490" s="394"/>
      <c r="F490" s="394"/>
      <c r="G490" s="399"/>
      <c r="H490" s="589"/>
      <c r="I490" s="557"/>
      <c r="J490" s="590"/>
      <c r="K490" s="425" t="s">
        <v>900</v>
      </c>
      <c r="L490" s="441" t="s">
        <v>464</v>
      </c>
      <c r="M490" s="666">
        <f t="shared" ref="M490:M492" si="33">T490/1000</f>
        <v>47317</v>
      </c>
      <c r="N490" s="632">
        <f>N480</f>
        <v>4162141</v>
      </c>
      <c r="O490" s="633">
        <v>209</v>
      </c>
      <c r="P490" s="636">
        <v>1.5</v>
      </c>
      <c r="Q490" s="633">
        <v>12</v>
      </c>
      <c r="R490" s="633">
        <v>11</v>
      </c>
      <c r="S490" s="633">
        <v>12</v>
      </c>
      <c r="T490" s="634">
        <f>ROUNDUP(N490/O490*P490*Q490*R490*S490,-3)</f>
        <v>47317000</v>
      </c>
      <c r="U490" s="631"/>
      <c r="V490" s="624"/>
      <c r="W490" s="624"/>
      <c r="X490" s="617"/>
      <c r="Y490" s="617"/>
    </row>
    <row r="491" spans="1:25" ht="18" customHeight="1">
      <c r="A491" s="393"/>
      <c r="B491" s="394"/>
      <c r="C491" s="394"/>
      <c r="D491" s="394"/>
      <c r="E491" s="394"/>
      <c r="F491" s="394"/>
      <c r="G491" s="399"/>
      <c r="H491" s="589"/>
      <c r="I491" s="557"/>
      <c r="J491" s="590"/>
      <c r="K491" s="425" t="s">
        <v>901</v>
      </c>
      <c r="L491" s="441" t="s">
        <v>464</v>
      </c>
      <c r="M491" s="666">
        <f t="shared" si="33"/>
        <v>44724</v>
      </c>
      <c r="N491" s="632">
        <f>N481</f>
        <v>3606183</v>
      </c>
      <c r="O491" s="633">
        <v>209</v>
      </c>
      <c r="P491" s="636">
        <v>1.5</v>
      </c>
      <c r="Q491" s="633">
        <v>12</v>
      </c>
      <c r="R491" s="633">
        <v>12</v>
      </c>
      <c r="S491" s="633">
        <v>12</v>
      </c>
      <c r="T491" s="634">
        <f>ROUNDUP(N491/O491*P491*Q491*R491*S491,-3)</f>
        <v>44724000</v>
      </c>
      <c r="U491" s="631"/>
      <c r="V491" s="624"/>
      <c r="W491" s="624"/>
      <c r="X491" s="617"/>
      <c r="Y491" s="617"/>
    </row>
    <row r="492" spans="1:25" ht="18" customHeight="1">
      <c r="A492" s="393"/>
      <c r="B492" s="394"/>
      <c r="C492" s="394"/>
      <c r="D492" s="394"/>
      <c r="E492" s="394"/>
      <c r="F492" s="394"/>
      <c r="G492" s="399"/>
      <c r="H492" s="589"/>
      <c r="I492" s="557"/>
      <c r="J492" s="590"/>
      <c r="K492" s="425" t="s">
        <v>902</v>
      </c>
      <c r="L492" s="441" t="s">
        <v>464</v>
      </c>
      <c r="M492" s="666">
        <f t="shared" si="33"/>
        <v>7852</v>
      </c>
      <c r="N492" s="632">
        <f>N482</f>
        <v>2532230</v>
      </c>
      <c r="O492" s="633">
        <v>209</v>
      </c>
      <c r="P492" s="636">
        <v>1.5</v>
      </c>
      <c r="Q492" s="633">
        <v>12</v>
      </c>
      <c r="R492" s="633">
        <v>3</v>
      </c>
      <c r="S492" s="633">
        <v>12</v>
      </c>
      <c r="T492" s="634">
        <f>ROUNDUP(N492/O492*P492*Q492*R492*S492,-3)</f>
        <v>7852000</v>
      </c>
      <c r="U492" s="631"/>
      <c r="V492" s="624"/>
      <c r="W492" s="624"/>
      <c r="X492" s="617"/>
      <c r="Y492" s="617"/>
    </row>
    <row r="493" spans="1:25" ht="18" customHeight="1">
      <c r="A493" s="393"/>
      <c r="B493" s="394"/>
      <c r="C493" s="394"/>
      <c r="D493" s="394"/>
      <c r="E493" s="394"/>
      <c r="F493" s="394"/>
      <c r="G493" s="399"/>
      <c r="H493" s="589"/>
      <c r="I493" s="557"/>
      <c r="J493" s="590"/>
      <c r="K493" s="517" t="s">
        <v>903</v>
      </c>
      <c r="L493" s="489"/>
      <c r="M493" s="1824">
        <f>SUM(M494:M497)</f>
        <v>200896</v>
      </c>
      <c r="N493" s="632"/>
      <c r="O493" s="633"/>
      <c r="P493" s="633"/>
      <c r="Q493" s="633"/>
      <c r="R493" s="633"/>
      <c r="S493" s="633"/>
      <c r="T493" s="634"/>
      <c r="U493" s="631"/>
      <c r="V493" s="624"/>
      <c r="W493" s="624"/>
      <c r="X493" s="617"/>
      <c r="Y493" s="617"/>
    </row>
    <row r="494" spans="1:25" ht="18" customHeight="1">
      <c r="A494" s="393"/>
      <c r="B494" s="394"/>
      <c r="C494" s="394"/>
      <c r="D494" s="394"/>
      <c r="E494" s="394"/>
      <c r="F494" s="394"/>
      <c r="G494" s="399"/>
      <c r="H494" s="589"/>
      <c r="I494" s="557"/>
      <c r="J494" s="590"/>
      <c r="K494" s="425" t="s">
        <v>904</v>
      </c>
      <c r="L494" s="441" t="s">
        <v>464</v>
      </c>
      <c r="M494" s="666">
        <f>T494/1000</f>
        <v>31634</v>
      </c>
      <c r="N494" s="632">
        <f>N479</f>
        <v>4516047</v>
      </c>
      <c r="O494" s="633">
        <v>209</v>
      </c>
      <c r="P494" s="636">
        <v>0.5</v>
      </c>
      <c r="Q494" s="633">
        <v>61</v>
      </c>
      <c r="R494" s="633">
        <v>4</v>
      </c>
      <c r="S494" s="633">
        <v>12</v>
      </c>
      <c r="T494" s="634">
        <f>ROUNDUP(N494/O494*P494*Q494*R494*S494,-3)</f>
        <v>31634000</v>
      </c>
      <c r="U494" s="631"/>
      <c r="V494" s="624"/>
      <c r="W494" s="624"/>
      <c r="X494" s="617"/>
      <c r="Y494" s="617"/>
    </row>
    <row r="495" spans="1:25" ht="18" customHeight="1">
      <c r="A495" s="393"/>
      <c r="B495" s="394"/>
      <c r="C495" s="394"/>
      <c r="D495" s="394"/>
      <c r="E495" s="394"/>
      <c r="F495" s="394"/>
      <c r="G495" s="399"/>
      <c r="H495" s="589"/>
      <c r="I495" s="557"/>
      <c r="J495" s="590"/>
      <c r="K495" s="425" t="s">
        <v>905</v>
      </c>
      <c r="L495" s="441" t="s">
        <v>464</v>
      </c>
      <c r="M495" s="666">
        <f t="shared" ref="M495:M497" si="34">T495/1000</f>
        <v>80176</v>
      </c>
      <c r="N495" s="632">
        <f>N480</f>
        <v>4162141</v>
      </c>
      <c r="O495" s="633">
        <v>209</v>
      </c>
      <c r="P495" s="636">
        <v>0.5</v>
      </c>
      <c r="Q495" s="633">
        <v>61</v>
      </c>
      <c r="R495" s="633">
        <v>11</v>
      </c>
      <c r="S495" s="633">
        <v>12</v>
      </c>
      <c r="T495" s="634">
        <f>ROUNDUP(N495/O495*P495*Q495*R495*S495,-3)</f>
        <v>80176000</v>
      </c>
      <c r="U495" s="631"/>
      <c r="V495" s="624"/>
      <c r="W495" s="624"/>
      <c r="X495" s="617"/>
      <c r="Y495" s="617"/>
    </row>
    <row r="496" spans="1:25" ht="18" customHeight="1">
      <c r="A496" s="393"/>
      <c r="B496" s="394"/>
      <c r="C496" s="394"/>
      <c r="D496" s="394"/>
      <c r="E496" s="394"/>
      <c r="F496" s="394"/>
      <c r="G496" s="399"/>
      <c r="H496" s="589"/>
      <c r="I496" s="557"/>
      <c r="J496" s="590"/>
      <c r="K496" s="425" t="s">
        <v>906</v>
      </c>
      <c r="L496" s="441" t="s">
        <v>464</v>
      </c>
      <c r="M496" s="666">
        <f t="shared" si="34"/>
        <v>75782</v>
      </c>
      <c r="N496" s="632">
        <f>N481</f>
        <v>3606183</v>
      </c>
      <c r="O496" s="633">
        <v>209</v>
      </c>
      <c r="P496" s="636">
        <v>0.5</v>
      </c>
      <c r="Q496" s="633">
        <v>61</v>
      </c>
      <c r="R496" s="633">
        <v>12</v>
      </c>
      <c r="S496" s="633">
        <v>12</v>
      </c>
      <c r="T496" s="634">
        <f>ROUNDUP(N496/O496*P496*Q496*R496*S496,-3)</f>
        <v>75782000</v>
      </c>
      <c r="U496" s="631"/>
      <c r="V496" s="624"/>
      <c r="W496" s="624"/>
      <c r="X496" s="617"/>
      <c r="Y496" s="617"/>
    </row>
    <row r="497" spans="1:25" ht="18" customHeight="1">
      <c r="A497" s="393"/>
      <c r="B497" s="394"/>
      <c r="C497" s="394"/>
      <c r="D497" s="394"/>
      <c r="E497" s="394"/>
      <c r="F497" s="394"/>
      <c r="G497" s="399"/>
      <c r="H497" s="592"/>
      <c r="I497" s="557"/>
      <c r="J497" s="595"/>
      <c r="K497" s="425" t="s">
        <v>907</v>
      </c>
      <c r="L497" s="441" t="s">
        <v>464</v>
      </c>
      <c r="M497" s="666">
        <f t="shared" si="34"/>
        <v>13304</v>
      </c>
      <c r="N497" s="632">
        <f>N482</f>
        <v>2532230</v>
      </c>
      <c r="O497" s="633">
        <v>209</v>
      </c>
      <c r="P497" s="636">
        <v>0.5</v>
      </c>
      <c r="Q497" s="633">
        <v>61</v>
      </c>
      <c r="R497" s="633">
        <v>3</v>
      </c>
      <c r="S497" s="633">
        <v>12</v>
      </c>
      <c r="T497" s="634">
        <f>ROUNDUP(N497/O497*P497*Q497*R497*S497,-3)</f>
        <v>13304000</v>
      </c>
      <c r="U497" s="631"/>
      <c r="V497" s="624"/>
      <c r="W497" s="624"/>
      <c r="X497" s="617"/>
      <c r="Y497" s="617"/>
    </row>
    <row r="498" spans="1:25" ht="18" customHeight="1">
      <c r="A498" s="393"/>
      <c r="B498" s="399"/>
      <c r="C498" s="399"/>
      <c r="D498" s="399"/>
      <c r="E498" s="399"/>
      <c r="F498" s="399"/>
      <c r="G498" s="400" t="s">
        <v>446</v>
      </c>
      <c r="H498" s="589">
        <f>M498</f>
        <v>5400015</v>
      </c>
      <c r="I498" s="558">
        <v>4558177</v>
      </c>
      <c r="J498" s="590">
        <f>H498-I498</f>
        <v>841838</v>
      </c>
      <c r="K498" s="519" t="s">
        <v>908</v>
      </c>
      <c r="L498" s="520"/>
      <c r="M498" s="1827">
        <f>M499+M501+M503+M505+M507+M509+M516+M522+M526+M528+M530+M532+M534+M536</f>
        <v>5400015</v>
      </c>
      <c r="N498" s="632"/>
      <c r="O498" s="633"/>
      <c r="P498" s="633"/>
      <c r="Q498" s="633"/>
      <c r="R498" s="633"/>
      <c r="S498" s="633"/>
      <c r="T498" s="634"/>
      <c r="U498" s="631"/>
      <c r="V498" s="624"/>
      <c r="W498" s="624"/>
      <c r="X498" s="624"/>
      <c r="Y498" s="624"/>
    </row>
    <row r="499" spans="1:25" ht="18" customHeight="1">
      <c r="A499" s="393"/>
      <c r="B499" s="399"/>
      <c r="C499" s="399"/>
      <c r="D499" s="399"/>
      <c r="E499" s="399"/>
      <c r="F499" s="399"/>
      <c r="G499" s="397"/>
      <c r="H499" s="589"/>
      <c r="I499" s="556"/>
      <c r="J499" s="590"/>
      <c r="K499" s="517" t="s">
        <v>769</v>
      </c>
      <c r="L499" s="515"/>
      <c r="M499" s="1824">
        <f>M500</f>
        <v>2787963</v>
      </c>
      <c r="N499" s="2343" t="s">
        <v>960</v>
      </c>
      <c r="O499" s="2344"/>
      <c r="P499" s="2344"/>
      <c r="Q499" s="2344"/>
      <c r="R499" s="2344"/>
      <c r="S499" s="2344"/>
      <c r="T499" s="2345"/>
      <c r="U499" s="631" t="s">
        <v>961</v>
      </c>
      <c r="V499" s="624"/>
      <c r="W499" s="624"/>
      <c r="X499" s="617"/>
      <c r="Y499" s="617"/>
    </row>
    <row r="500" spans="1:25" ht="18" customHeight="1">
      <c r="A500" s="393"/>
      <c r="B500" s="399"/>
      <c r="C500" s="399"/>
      <c r="D500" s="399"/>
      <c r="E500" s="399"/>
      <c r="F500" s="399"/>
      <c r="G500" s="397"/>
      <c r="H500" s="589"/>
      <c r="I500" s="556"/>
      <c r="J500" s="590"/>
      <c r="K500" s="425" t="s">
        <v>909</v>
      </c>
      <c r="L500" s="515" t="s">
        <v>464</v>
      </c>
      <c r="M500" s="666">
        <f>T500/1000</f>
        <v>2787963</v>
      </c>
      <c r="N500" s="632">
        <f>ROUNDUP(U500+(U500*$Q$339),-1)</f>
        <v>2346770</v>
      </c>
      <c r="O500" s="633">
        <v>108</v>
      </c>
      <c r="P500" s="633">
        <v>11</v>
      </c>
      <c r="Q500" s="633"/>
      <c r="R500" s="633"/>
      <c r="S500" s="633"/>
      <c r="T500" s="634">
        <f>ROUNDUP(N500*O500*P500,-3)</f>
        <v>2787963000</v>
      </c>
      <c r="U500" s="631">
        <v>2247860</v>
      </c>
      <c r="V500" s="624"/>
      <c r="W500" s="624"/>
      <c r="X500" s="617"/>
      <c r="Y500" s="617"/>
    </row>
    <row r="501" spans="1:25" ht="18" customHeight="1">
      <c r="A501" s="393"/>
      <c r="B501" s="399"/>
      <c r="C501" s="399"/>
      <c r="D501" s="399"/>
      <c r="E501" s="399"/>
      <c r="F501" s="399"/>
      <c r="G501" s="397"/>
      <c r="H501" s="589"/>
      <c r="I501" s="556"/>
      <c r="J501" s="590"/>
      <c r="K501" s="517" t="s">
        <v>910</v>
      </c>
      <c r="L501" s="515"/>
      <c r="M501" s="1824">
        <f>M502</f>
        <v>228107</v>
      </c>
      <c r="N501" s="632"/>
      <c r="O501" s="633"/>
      <c r="P501" s="633"/>
      <c r="Q501" s="633"/>
      <c r="R501" s="633"/>
      <c r="S501" s="633"/>
      <c r="T501" s="634"/>
      <c r="U501" s="631"/>
      <c r="V501" s="624"/>
      <c r="W501" s="624"/>
      <c r="X501" s="617"/>
      <c r="Y501" s="617"/>
    </row>
    <row r="502" spans="1:25" ht="18" customHeight="1">
      <c r="A502" s="393"/>
      <c r="B502" s="399"/>
      <c r="C502" s="399"/>
      <c r="D502" s="399"/>
      <c r="E502" s="399"/>
      <c r="F502" s="399"/>
      <c r="G502" s="397"/>
      <c r="H502" s="589"/>
      <c r="I502" s="556"/>
      <c r="J502" s="590"/>
      <c r="K502" s="425" t="s">
        <v>911</v>
      </c>
      <c r="L502" s="515" t="s">
        <v>464</v>
      </c>
      <c r="M502" s="666">
        <f>T502/1000</f>
        <v>228107</v>
      </c>
      <c r="N502" s="632">
        <f>N500</f>
        <v>2346770</v>
      </c>
      <c r="O502" s="635">
        <v>0.45</v>
      </c>
      <c r="P502" s="633">
        <v>108</v>
      </c>
      <c r="Q502" s="633">
        <v>2</v>
      </c>
      <c r="R502" s="633"/>
      <c r="S502" s="633"/>
      <c r="T502" s="634">
        <f>ROUNDUP(N502*O502*P502*Q502,-3)</f>
        <v>228107000</v>
      </c>
      <c r="U502" s="631"/>
      <c r="V502" s="624"/>
      <c r="W502" s="624"/>
      <c r="X502" s="617"/>
      <c r="Y502" s="617"/>
    </row>
    <row r="503" spans="1:25" ht="18" customHeight="1">
      <c r="A503" s="393"/>
      <c r="B503" s="399"/>
      <c r="C503" s="399"/>
      <c r="D503" s="399"/>
      <c r="E503" s="399"/>
      <c r="F503" s="399"/>
      <c r="G503" s="397"/>
      <c r="H503" s="589"/>
      <c r="I503" s="556"/>
      <c r="J503" s="590"/>
      <c r="K503" s="517" t="s">
        <v>795</v>
      </c>
      <c r="L503" s="515"/>
      <c r="M503" s="1824">
        <f>M504</f>
        <v>181440</v>
      </c>
      <c r="N503" s="632"/>
      <c r="O503" s="633"/>
      <c r="P503" s="633"/>
      <c r="Q503" s="633"/>
      <c r="R503" s="633"/>
      <c r="S503" s="633"/>
      <c r="T503" s="634"/>
      <c r="U503" s="631"/>
      <c r="V503" s="624"/>
      <c r="W503" s="624"/>
      <c r="X503" s="617"/>
      <c r="Y503" s="617"/>
    </row>
    <row r="504" spans="1:25" ht="18" customHeight="1">
      <c r="A504" s="393"/>
      <c r="B504" s="399"/>
      <c r="C504" s="399"/>
      <c r="D504" s="399"/>
      <c r="E504" s="399"/>
      <c r="F504" s="399"/>
      <c r="G504" s="397"/>
      <c r="H504" s="589"/>
      <c r="I504" s="556"/>
      <c r="J504" s="590"/>
      <c r="K504" s="425" t="s">
        <v>912</v>
      </c>
      <c r="L504" s="515" t="s">
        <v>464</v>
      </c>
      <c r="M504" s="666">
        <f>T504/1000</f>
        <v>181440</v>
      </c>
      <c r="N504" s="632">
        <v>140000</v>
      </c>
      <c r="O504" s="633">
        <v>108</v>
      </c>
      <c r="P504" s="633">
        <v>12</v>
      </c>
      <c r="Q504" s="633"/>
      <c r="R504" s="633"/>
      <c r="S504" s="633"/>
      <c r="T504" s="634">
        <f>ROUNDUP(N504*O504*P504,-3)</f>
        <v>181440000</v>
      </c>
      <c r="U504" s="631"/>
      <c r="V504" s="624"/>
      <c r="W504" s="624"/>
      <c r="X504" s="617"/>
      <c r="Y504" s="617"/>
    </row>
    <row r="505" spans="1:25" ht="18" customHeight="1">
      <c r="A505" s="393"/>
      <c r="B505" s="399"/>
      <c r="C505" s="399"/>
      <c r="D505" s="399"/>
      <c r="E505" s="399"/>
      <c r="F505" s="399"/>
      <c r="G505" s="397"/>
      <c r="H505" s="589"/>
      <c r="I505" s="556"/>
      <c r="J505" s="590"/>
      <c r="K505" s="517" t="s">
        <v>913</v>
      </c>
      <c r="L505" s="515"/>
      <c r="M505" s="1824">
        <f>M506</f>
        <v>259200</v>
      </c>
      <c r="N505" s="632"/>
      <c r="O505" s="633"/>
      <c r="P505" s="633"/>
      <c r="Q505" s="633"/>
      <c r="R505" s="633"/>
      <c r="S505" s="633"/>
      <c r="T505" s="634"/>
      <c r="U505" s="631"/>
      <c r="V505" s="624"/>
      <c r="W505" s="624"/>
      <c r="X505" s="617"/>
      <c r="Y505" s="617"/>
    </row>
    <row r="506" spans="1:25" ht="18" customHeight="1">
      <c r="A506" s="393"/>
      <c r="B506" s="399"/>
      <c r="C506" s="399"/>
      <c r="D506" s="399"/>
      <c r="E506" s="399"/>
      <c r="F506" s="399"/>
      <c r="G506" s="397"/>
      <c r="H506" s="589"/>
      <c r="I506" s="556"/>
      <c r="J506" s="590"/>
      <c r="K506" s="425" t="s">
        <v>914</v>
      </c>
      <c r="L506" s="515" t="s">
        <v>464</v>
      </c>
      <c r="M506" s="666">
        <f>T506/1000</f>
        <v>259200</v>
      </c>
      <c r="N506" s="632">
        <v>200000</v>
      </c>
      <c r="O506" s="633">
        <v>108</v>
      </c>
      <c r="P506" s="633">
        <v>12</v>
      </c>
      <c r="Q506" s="633"/>
      <c r="R506" s="633"/>
      <c r="S506" s="633"/>
      <c r="T506" s="634">
        <f>ROUNDUP(N506*O506*P506,-3)</f>
        <v>259200000</v>
      </c>
      <c r="U506" s="631"/>
      <c r="V506" s="624"/>
      <c r="W506" s="624"/>
      <c r="X506" s="617"/>
      <c r="Y506" s="617"/>
    </row>
    <row r="507" spans="1:25" ht="18" customHeight="1">
      <c r="A507" s="393"/>
      <c r="B507" s="399"/>
      <c r="C507" s="399"/>
      <c r="D507" s="399"/>
      <c r="E507" s="399"/>
      <c r="F507" s="399"/>
      <c r="G507" s="397"/>
      <c r="H507" s="589"/>
      <c r="I507" s="556"/>
      <c r="J507" s="590"/>
      <c r="K507" s="517" t="s">
        <v>915</v>
      </c>
      <c r="L507" s="515"/>
      <c r="M507" s="1824">
        <f>M508</f>
        <v>116640</v>
      </c>
      <c r="N507" s="632"/>
      <c r="O507" s="633"/>
      <c r="P507" s="633"/>
      <c r="Q507" s="633"/>
      <c r="R507" s="633"/>
      <c r="S507" s="633"/>
      <c r="T507" s="634"/>
      <c r="U507" s="631"/>
      <c r="V507" s="624"/>
      <c r="W507" s="624"/>
      <c r="X507" s="617"/>
      <c r="Y507" s="617"/>
    </row>
    <row r="508" spans="1:25" ht="18" customHeight="1">
      <c r="A508" s="393"/>
      <c r="B508" s="399"/>
      <c r="C508" s="399"/>
      <c r="D508" s="399"/>
      <c r="E508" s="399"/>
      <c r="F508" s="399"/>
      <c r="G508" s="397"/>
      <c r="H508" s="589"/>
      <c r="I508" s="556"/>
      <c r="J508" s="590"/>
      <c r="K508" s="425" t="s">
        <v>916</v>
      </c>
      <c r="L508" s="515" t="s">
        <v>464</v>
      </c>
      <c r="M508" s="666">
        <f>T508/1000</f>
        <v>116640</v>
      </c>
      <c r="N508" s="632">
        <v>90000</v>
      </c>
      <c r="O508" s="633">
        <v>108</v>
      </c>
      <c r="P508" s="633">
        <v>12</v>
      </c>
      <c r="Q508" s="633"/>
      <c r="R508" s="633"/>
      <c r="S508" s="633"/>
      <c r="T508" s="634">
        <f>ROUNDUP(N508*O508*P508,-3)</f>
        <v>116640000</v>
      </c>
      <c r="U508" s="631"/>
      <c r="V508" s="624"/>
      <c r="W508" s="624"/>
      <c r="X508" s="617"/>
      <c r="Y508" s="617"/>
    </row>
    <row r="509" spans="1:25" ht="18" customHeight="1">
      <c r="A509" s="393"/>
      <c r="B509" s="399"/>
      <c r="C509" s="399"/>
      <c r="D509" s="399"/>
      <c r="E509" s="399"/>
      <c r="F509" s="399"/>
      <c r="G509" s="397"/>
      <c r="H509" s="589"/>
      <c r="I509" s="556"/>
      <c r="J509" s="590"/>
      <c r="K509" s="517" t="s">
        <v>917</v>
      </c>
      <c r="L509" s="515"/>
      <c r="M509" s="1824">
        <f>SUM(M510:M515)</f>
        <v>52800</v>
      </c>
      <c r="N509" s="632"/>
      <c r="O509" s="633"/>
      <c r="P509" s="633"/>
      <c r="Q509" s="633"/>
      <c r="R509" s="633"/>
      <c r="S509" s="633"/>
      <c r="T509" s="634"/>
      <c r="U509" s="631"/>
      <c r="V509" s="624"/>
      <c r="W509" s="624"/>
      <c r="X509" s="617"/>
      <c r="Y509" s="617"/>
    </row>
    <row r="510" spans="1:25" ht="18" customHeight="1">
      <c r="A510" s="393"/>
      <c r="B510" s="399"/>
      <c r="C510" s="399"/>
      <c r="D510" s="399"/>
      <c r="E510" s="399"/>
      <c r="F510" s="399"/>
      <c r="G510" s="397"/>
      <c r="H510" s="589"/>
      <c r="I510" s="556"/>
      <c r="J510" s="590"/>
      <c r="K510" s="425" t="s">
        <v>918</v>
      </c>
      <c r="L510" s="515" t="s">
        <v>464</v>
      </c>
      <c r="M510" s="666">
        <f>T510/1000</f>
        <v>7920</v>
      </c>
      <c r="N510" s="632">
        <v>30000</v>
      </c>
      <c r="O510" s="633">
        <v>22</v>
      </c>
      <c r="P510" s="633">
        <v>12</v>
      </c>
      <c r="Q510" s="633"/>
      <c r="R510" s="633"/>
      <c r="S510" s="633"/>
      <c r="T510" s="634">
        <f t="shared" ref="T510:T515" si="35">ROUNDUP(N510*O510*P510,-3)</f>
        <v>7920000</v>
      </c>
      <c r="U510" s="631"/>
      <c r="V510" s="624"/>
      <c r="W510" s="624"/>
      <c r="X510" s="617"/>
      <c r="Y510" s="617"/>
    </row>
    <row r="511" spans="1:25" ht="18" customHeight="1">
      <c r="A511" s="393"/>
      <c r="B511" s="399"/>
      <c r="C511" s="399"/>
      <c r="D511" s="399"/>
      <c r="E511" s="399"/>
      <c r="F511" s="399"/>
      <c r="G511" s="397"/>
      <c r="H511" s="589"/>
      <c r="I511" s="556"/>
      <c r="J511" s="590"/>
      <c r="K511" s="425" t="s">
        <v>919</v>
      </c>
      <c r="L511" s="515" t="s">
        <v>464</v>
      </c>
      <c r="M511" s="666">
        <f t="shared" ref="M511:M515" si="36">T511/1000</f>
        <v>27600</v>
      </c>
      <c r="N511" s="632">
        <v>50000</v>
      </c>
      <c r="O511" s="633">
        <v>46</v>
      </c>
      <c r="P511" s="633">
        <v>12</v>
      </c>
      <c r="Q511" s="633"/>
      <c r="R511" s="633"/>
      <c r="S511" s="633"/>
      <c r="T511" s="634">
        <f t="shared" si="35"/>
        <v>27600000</v>
      </c>
      <c r="U511" s="631"/>
      <c r="V511" s="624"/>
      <c r="W511" s="624"/>
      <c r="X511" s="617"/>
      <c r="Y511" s="617"/>
    </row>
    <row r="512" spans="1:25" ht="18" customHeight="1">
      <c r="A512" s="393"/>
      <c r="B512" s="399"/>
      <c r="C512" s="399"/>
      <c r="D512" s="399"/>
      <c r="E512" s="399"/>
      <c r="F512" s="399"/>
      <c r="G512" s="397"/>
      <c r="H512" s="589"/>
      <c r="I512" s="556"/>
      <c r="J512" s="590"/>
      <c r="K512" s="425" t="s">
        <v>920</v>
      </c>
      <c r="L512" s="515" t="s">
        <v>464</v>
      </c>
      <c r="M512" s="666">
        <f t="shared" si="36"/>
        <v>17280</v>
      </c>
      <c r="N512" s="632">
        <v>60000</v>
      </c>
      <c r="O512" s="633">
        <v>24</v>
      </c>
      <c r="P512" s="633">
        <v>12</v>
      </c>
      <c r="Q512" s="633"/>
      <c r="R512" s="633"/>
      <c r="S512" s="633"/>
      <c r="T512" s="634">
        <f t="shared" si="35"/>
        <v>17280000</v>
      </c>
      <c r="U512" s="631"/>
      <c r="V512" s="624"/>
      <c r="W512" s="624"/>
      <c r="X512" s="617"/>
      <c r="Y512" s="617"/>
    </row>
    <row r="513" spans="1:25" ht="18" customHeight="1">
      <c r="A513" s="393"/>
      <c r="B513" s="399"/>
      <c r="C513" s="399"/>
      <c r="D513" s="399"/>
      <c r="E513" s="399"/>
      <c r="F513" s="399"/>
      <c r="G513" s="397"/>
      <c r="H513" s="589"/>
      <c r="I513" s="556"/>
      <c r="J513" s="590"/>
      <c r="K513" s="425" t="s">
        <v>921</v>
      </c>
      <c r="L513" s="515" t="s">
        <v>464</v>
      </c>
      <c r="M513" s="666">
        <f t="shared" si="36"/>
        <v>0</v>
      </c>
      <c r="N513" s="632">
        <v>80000</v>
      </c>
      <c r="O513" s="633">
        <v>0</v>
      </c>
      <c r="P513" s="633">
        <v>12</v>
      </c>
      <c r="Q513" s="633"/>
      <c r="R513" s="633"/>
      <c r="S513" s="633"/>
      <c r="T513" s="634">
        <f t="shared" si="35"/>
        <v>0</v>
      </c>
      <c r="U513" s="631"/>
      <c r="V513" s="624"/>
      <c r="W513" s="624"/>
      <c r="X513" s="617"/>
      <c r="Y513" s="617"/>
    </row>
    <row r="514" spans="1:25" ht="18" customHeight="1">
      <c r="A514" s="393"/>
      <c r="B514" s="399"/>
      <c r="C514" s="399"/>
      <c r="D514" s="399"/>
      <c r="E514" s="399"/>
      <c r="F514" s="399"/>
      <c r="G514" s="397"/>
      <c r="H514" s="589"/>
      <c r="I514" s="556"/>
      <c r="J514" s="590"/>
      <c r="K514" s="425" t="s">
        <v>922</v>
      </c>
      <c r="L514" s="515" t="s">
        <v>464</v>
      </c>
      <c r="M514" s="666">
        <f t="shared" si="36"/>
        <v>0</v>
      </c>
      <c r="N514" s="632">
        <v>110000</v>
      </c>
      <c r="O514" s="633">
        <v>0</v>
      </c>
      <c r="P514" s="633">
        <v>12</v>
      </c>
      <c r="Q514" s="633"/>
      <c r="R514" s="633"/>
      <c r="S514" s="633"/>
      <c r="T514" s="634">
        <f t="shared" si="35"/>
        <v>0</v>
      </c>
      <c r="U514" s="631"/>
      <c r="V514" s="624"/>
      <c r="W514" s="624"/>
      <c r="X514" s="617"/>
      <c r="Y514" s="617"/>
    </row>
    <row r="515" spans="1:25" ht="18" customHeight="1">
      <c r="A515" s="393"/>
      <c r="B515" s="399"/>
      <c r="C515" s="399"/>
      <c r="D515" s="399"/>
      <c r="E515" s="399"/>
      <c r="F515" s="399"/>
      <c r="G515" s="397"/>
      <c r="H515" s="589"/>
      <c r="I515" s="556"/>
      <c r="J515" s="590"/>
      <c r="K515" s="425" t="s">
        <v>875</v>
      </c>
      <c r="L515" s="515" t="s">
        <v>464</v>
      </c>
      <c r="M515" s="666">
        <f t="shared" si="36"/>
        <v>0</v>
      </c>
      <c r="N515" s="632">
        <v>130000</v>
      </c>
      <c r="O515" s="633">
        <v>0</v>
      </c>
      <c r="P515" s="633">
        <v>12</v>
      </c>
      <c r="Q515" s="633"/>
      <c r="R515" s="633"/>
      <c r="S515" s="633"/>
      <c r="T515" s="634">
        <f t="shared" si="35"/>
        <v>0</v>
      </c>
      <c r="U515" s="631"/>
      <c r="V515" s="624"/>
      <c r="W515" s="624"/>
      <c r="X515" s="617"/>
      <c r="Y515" s="617"/>
    </row>
    <row r="516" spans="1:25" ht="18" customHeight="1">
      <c r="A516" s="393"/>
      <c r="B516" s="399"/>
      <c r="C516" s="399"/>
      <c r="D516" s="399"/>
      <c r="E516" s="399"/>
      <c r="F516" s="399"/>
      <c r="G516" s="397"/>
      <c r="H516" s="589"/>
      <c r="I516" s="556"/>
      <c r="J516" s="590"/>
      <c r="K516" s="517" t="s">
        <v>799</v>
      </c>
      <c r="L516" s="441"/>
      <c r="M516" s="1824">
        <f>SUM(M517:M521)</f>
        <v>56400</v>
      </c>
      <c r="N516" s="632"/>
      <c r="O516" s="633"/>
      <c r="P516" s="633"/>
      <c r="Q516" s="633"/>
      <c r="R516" s="633"/>
      <c r="S516" s="633"/>
      <c r="T516" s="634"/>
      <c r="U516" s="631"/>
      <c r="V516" s="624"/>
      <c r="W516" s="624"/>
      <c r="X516" s="617"/>
      <c r="Y516" s="617"/>
    </row>
    <row r="517" spans="1:25" ht="18" customHeight="1">
      <c r="A517" s="393"/>
      <c r="B517" s="399"/>
      <c r="C517" s="399"/>
      <c r="D517" s="399"/>
      <c r="E517" s="399"/>
      <c r="F517" s="399"/>
      <c r="G517" s="397"/>
      <c r="H517" s="589"/>
      <c r="I517" s="556"/>
      <c r="J517" s="590"/>
      <c r="K517" s="425" t="s">
        <v>923</v>
      </c>
      <c r="L517" s="441" t="s">
        <v>464</v>
      </c>
      <c r="M517" s="666">
        <f>T517/1000</f>
        <v>20160</v>
      </c>
      <c r="N517" s="632">
        <v>40000</v>
      </c>
      <c r="O517" s="633">
        <v>42</v>
      </c>
      <c r="P517" s="633">
        <v>12</v>
      </c>
      <c r="Q517" s="633"/>
      <c r="R517" s="633"/>
      <c r="S517" s="633"/>
      <c r="T517" s="634">
        <f>ROUNDUP(N517*O517*P517,-3)</f>
        <v>20160000</v>
      </c>
      <c r="U517" s="631"/>
      <c r="V517" s="624"/>
      <c r="W517" s="624"/>
      <c r="X517" s="617"/>
      <c r="Y517" s="617"/>
    </row>
    <row r="518" spans="1:25" ht="18" customHeight="1">
      <c r="A518" s="393"/>
      <c r="B518" s="399"/>
      <c r="C518" s="399"/>
      <c r="D518" s="399"/>
      <c r="E518" s="399"/>
      <c r="F518" s="399"/>
      <c r="G518" s="397"/>
      <c r="H518" s="589"/>
      <c r="I518" s="556"/>
      <c r="J518" s="590"/>
      <c r="K518" s="425" t="s">
        <v>924</v>
      </c>
      <c r="L518" s="441" t="s">
        <v>464</v>
      </c>
      <c r="M518" s="666">
        <f t="shared" ref="M518:M521" si="37">T518/1000</f>
        <v>5520</v>
      </c>
      <c r="N518" s="632">
        <v>20000</v>
      </c>
      <c r="O518" s="633">
        <v>23</v>
      </c>
      <c r="P518" s="633">
        <v>12</v>
      </c>
      <c r="Q518" s="633"/>
      <c r="R518" s="633"/>
      <c r="S518" s="633"/>
      <c r="T518" s="634">
        <f>ROUNDUP(N518*O518*P518,-3)</f>
        <v>5520000</v>
      </c>
      <c r="U518" s="631"/>
      <c r="V518" s="624"/>
      <c r="W518" s="624"/>
      <c r="X518" s="617"/>
      <c r="Y518" s="617"/>
    </row>
    <row r="519" spans="1:25" ht="18" customHeight="1">
      <c r="A519" s="393"/>
      <c r="B519" s="399"/>
      <c r="C519" s="399"/>
      <c r="D519" s="399"/>
      <c r="E519" s="399"/>
      <c r="F519" s="399"/>
      <c r="G519" s="397"/>
      <c r="H519" s="589"/>
      <c r="I519" s="556"/>
      <c r="J519" s="590"/>
      <c r="K519" s="425" t="s">
        <v>925</v>
      </c>
      <c r="L519" s="441" t="s">
        <v>464</v>
      </c>
      <c r="M519" s="666">
        <f t="shared" si="37"/>
        <v>9600</v>
      </c>
      <c r="N519" s="632">
        <v>50000</v>
      </c>
      <c r="O519" s="633">
        <v>16</v>
      </c>
      <c r="P519" s="633">
        <v>12</v>
      </c>
      <c r="Q519" s="633"/>
      <c r="R519" s="633"/>
      <c r="S519" s="633"/>
      <c r="T519" s="634">
        <f>ROUNDUP(N519*O519*P519,-3)</f>
        <v>9600000</v>
      </c>
      <c r="U519" s="631"/>
      <c r="V519" s="624"/>
      <c r="W519" s="624"/>
      <c r="X519" s="617"/>
      <c r="Y519" s="617"/>
    </row>
    <row r="520" spans="1:25" ht="18" customHeight="1">
      <c r="A520" s="393"/>
      <c r="B520" s="399"/>
      <c r="C520" s="399"/>
      <c r="D520" s="399"/>
      <c r="E520" s="399"/>
      <c r="F520" s="399"/>
      <c r="G520" s="397"/>
      <c r="H520" s="589"/>
      <c r="I520" s="556"/>
      <c r="J520" s="590"/>
      <c r="K520" s="425" t="s">
        <v>926</v>
      </c>
      <c r="L520" s="441" t="s">
        <v>464</v>
      </c>
      <c r="M520" s="666">
        <f t="shared" si="37"/>
        <v>12480</v>
      </c>
      <c r="N520" s="632">
        <v>80000</v>
      </c>
      <c r="O520" s="633">
        <v>13</v>
      </c>
      <c r="P520" s="633">
        <v>12</v>
      </c>
      <c r="Q520" s="633"/>
      <c r="R520" s="633"/>
      <c r="S520" s="633"/>
      <c r="T520" s="634">
        <f>ROUNDUP(N520*O520*P520,-3)</f>
        <v>12480000</v>
      </c>
      <c r="U520" s="631"/>
      <c r="V520" s="624"/>
      <c r="W520" s="624"/>
      <c r="X520" s="617"/>
      <c r="Y520" s="617"/>
    </row>
    <row r="521" spans="1:25" ht="18" customHeight="1">
      <c r="A521" s="393"/>
      <c r="B521" s="399"/>
      <c r="C521" s="399"/>
      <c r="D521" s="399"/>
      <c r="E521" s="399"/>
      <c r="F521" s="399"/>
      <c r="G521" s="397"/>
      <c r="H521" s="589"/>
      <c r="I521" s="556"/>
      <c r="J521" s="590"/>
      <c r="K521" s="425" t="s">
        <v>927</v>
      </c>
      <c r="L521" s="441" t="s">
        <v>464</v>
      </c>
      <c r="M521" s="666">
        <f t="shared" si="37"/>
        <v>8640</v>
      </c>
      <c r="N521" s="632">
        <v>120000</v>
      </c>
      <c r="O521" s="633">
        <v>6</v>
      </c>
      <c r="P521" s="633">
        <v>12</v>
      </c>
      <c r="Q521" s="633"/>
      <c r="R521" s="633"/>
      <c r="S521" s="633"/>
      <c r="T521" s="634">
        <f>ROUNDUP(N521*O521*P521,-3)</f>
        <v>8640000</v>
      </c>
      <c r="U521" s="631"/>
      <c r="V521" s="624"/>
      <c r="W521" s="624"/>
      <c r="X521" s="617"/>
      <c r="Y521" s="617"/>
    </row>
    <row r="522" spans="1:25" ht="18" customHeight="1">
      <c r="A522" s="393"/>
      <c r="B522" s="399"/>
      <c r="C522" s="399"/>
      <c r="D522" s="399"/>
      <c r="E522" s="399"/>
      <c r="F522" s="399"/>
      <c r="G522" s="397"/>
      <c r="H522" s="589"/>
      <c r="I522" s="556"/>
      <c r="J522" s="590"/>
      <c r="K522" s="517" t="s">
        <v>789</v>
      </c>
      <c r="L522" s="515"/>
      <c r="M522" s="1824">
        <f>SUM(M523:M525)</f>
        <v>13560</v>
      </c>
      <c r="N522" s="632"/>
      <c r="O522" s="633"/>
      <c r="P522" s="633"/>
      <c r="Q522" s="633"/>
      <c r="R522" s="633"/>
      <c r="S522" s="633"/>
      <c r="T522" s="634"/>
      <c r="U522" s="631"/>
      <c r="V522" s="624"/>
      <c r="W522" s="624"/>
      <c r="X522" s="617"/>
      <c r="Y522" s="617"/>
    </row>
    <row r="523" spans="1:25" ht="18" customHeight="1">
      <c r="A523" s="393"/>
      <c r="B523" s="399"/>
      <c r="C523" s="399"/>
      <c r="D523" s="399"/>
      <c r="E523" s="399"/>
      <c r="F523" s="399"/>
      <c r="G523" s="397"/>
      <c r="H523" s="589"/>
      <c r="I523" s="556"/>
      <c r="J523" s="590"/>
      <c r="K523" s="425" t="s">
        <v>928</v>
      </c>
      <c r="L523" s="515" t="s">
        <v>464</v>
      </c>
      <c r="M523" s="666">
        <f>T523/1000</f>
        <v>6600</v>
      </c>
      <c r="N523" s="632">
        <v>50000</v>
      </c>
      <c r="O523" s="633">
        <v>11</v>
      </c>
      <c r="P523" s="633">
        <v>12</v>
      </c>
      <c r="Q523" s="633"/>
      <c r="R523" s="633"/>
      <c r="S523" s="633"/>
      <c r="T523" s="634">
        <f>ROUNDUP(N523*O523*P523,-3)</f>
        <v>6600000</v>
      </c>
      <c r="U523" s="631"/>
      <c r="V523" s="624"/>
      <c r="W523" s="624"/>
      <c r="X523" s="617"/>
      <c r="Y523" s="617"/>
    </row>
    <row r="524" spans="1:25" ht="18" customHeight="1">
      <c r="A524" s="393"/>
      <c r="B524" s="399"/>
      <c r="C524" s="399"/>
      <c r="D524" s="399"/>
      <c r="E524" s="399"/>
      <c r="F524" s="399"/>
      <c r="G524" s="397"/>
      <c r="H524" s="589"/>
      <c r="I524" s="556"/>
      <c r="J524" s="590"/>
      <c r="K524" s="425" t="s">
        <v>929</v>
      </c>
      <c r="L524" s="515" t="s">
        <v>464</v>
      </c>
      <c r="M524" s="666">
        <f t="shared" ref="M524:M525" si="38">T524/1000</f>
        <v>6600</v>
      </c>
      <c r="N524" s="632">
        <v>50000</v>
      </c>
      <c r="O524" s="633">
        <v>11</v>
      </c>
      <c r="P524" s="633">
        <v>12</v>
      </c>
      <c r="Q524" s="633"/>
      <c r="R524" s="633"/>
      <c r="S524" s="633"/>
      <c r="T524" s="634">
        <f>ROUNDUP(N524*O524*P524,-3)</f>
        <v>6600000</v>
      </c>
      <c r="U524" s="631"/>
      <c r="V524" s="624"/>
      <c r="W524" s="624"/>
      <c r="X524" s="617"/>
      <c r="Y524" s="617"/>
    </row>
    <row r="525" spans="1:25" ht="18" customHeight="1">
      <c r="A525" s="393"/>
      <c r="B525" s="399"/>
      <c r="C525" s="399"/>
      <c r="D525" s="399"/>
      <c r="E525" s="399"/>
      <c r="F525" s="399"/>
      <c r="G525" s="397"/>
      <c r="H525" s="589"/>
      <c r="I525" s="556"/>
      <c r="J525" s="590"/>
      <c r="K525" s="425" t="s">
        <v>930</v>
      </c>
      <c r="L525" s="515" t="s">
        <v>464</v>
      </c>
      <c r="M525" s="666">
        <f t="shared" si="38"/>
        <v>360</v>
      </c>
      <c r="N525" s="632">
        <v>30000</v>
      </c>
      <c r="O525" s="633">
        <v>1</v>
      </c>
      <c r="P525" s="633">
        <v>12</v>
      </c>
      <c r="Q525" s="633"/>
      <c r="R525" s="633"/>
      <c r="S525" s="633"/>
      <c r="T525" s="634">
        <f>ROUNDUP(N525*O525*P525,-3)</f>
        <v>360000</v>
      </c>
      <c r="U525" s="631"/>
      <c r="V525" s="624"/>
      <c r="W525" s="624"/>
      <c r="X525" s="617"/>
      <c r="Y525" s="617"/>
    </row>
    <row r="526" spans="1:25" ht="18" customHeight="1">
      <c r="A526" s="393"/>
      <c r="B526" s="399"/>
      <c r="C526" s="399"/>
      <c r="D526" s="399"/>
      <c r="E526" s="399"/>
      <c r="F526" s="399"/>
      <c r="G526" s="397"/>
      <c r="H526" s="589"/>
      <c r="I526" s="556"/>
      <c r="J526" s="590"/>
      <c r="K526" s="517" t="s">
        <v>821</v>
      </c>
      <c r="L526" s="515"/>
      <c r="M526" s="1824">
        <f>M527</f>
        <v>1200</v>
      </c>
      <c r="N526" s="632"/>
      <c r="O526" s="633"/>
      <c r="P526" s="633"/>
      <c r="Q526" s="633"/>
      <c r="R526" s="633"/>
      <c r="S526" s="633"/>
      <c r="T526" s="634"/>
      <c r="U526" s="631"/>
      <c r="V526" s="624"/>
      <c r="W526" s="624"/>
      <c r="X526" s="617"/>
      <c r="Y526" s="617"/>
    </row>
    <row r="527" spans="1:25" ht="18" customHeight="1">
      <c r="A527" s="393"/>
      <c r="B527" s="399"/>
      <c r="C527" s="399"/>
      <c r="D527" s="399"/>
      <c r="E527" s="399"/>
      <c r="F527" s="399"/>
      <c r="G527" s="397"/>
      <c r="H527" s="589"/>
      <c r="I527" s="556"/>
      <c r="J527" s="590"/>
      <c r="K527" s="425" t="s">
        <v>931</v>
      </c>
      <c r="L527" s="515" t="s">
        <v>464</v>
      </c>
      <c r="M527" s="666">
        <f>T527/1000</f>
        <v>1200</v>
      </c>
      <c r="N527" s="632">
        <v>10000</v>
      </c>
      <c r="O527" s="633">
        <v>10</v>
      </c>
      <c r="P527" s="633">
        <v>12</v>
      </c>
      <c r="Q527" s="633"/>
      <c r="R527" s="633"/>
      <c r="S527" s="633"/>
      <c r="T527" s="634">
        <f>ROUNDUP(N527*O527*P527,-3)</f>
        <v>1200000</v>
      </c>
      <c r="U527" s="631"/>
      <c r="V527" s="624"/>
      <c r="W527" s="624"/>
      <c r="X527" s="617"/>
      <c r="Y527" s="617"/>
    </row>
    <row r="528" spans="1:25" ht="18" customHeight="1">
      <c r="A528" s="393"/>
      <c r="B528" s="399"/>
      <c r="C528" s="399"/>
      <c r="D528" s="399"/>
      <c r="E528" s="399"/>
      <c r="F528" s="399"/>
      <c r="G528" s="397"/>
      <c r="H528" s="589"/>
      <c r="I528" s="556"/>
      <c r="J528" s="590"/>
      <c r="K528" s="517" t="s">
        <v>812</v>
      </c>
      <c r="L528" s="515"/>
      <c r="M528" s="1824">
        <f>M529</f>
        <v>304142</v>
      </c>
      <c r="N528" s="632"/>
      <c r="O528" s="633"/>
      <c r="P528" s="633"/>
      <c r="Q528" s="633"/>
      <c r="R528" s="633"/>
      <c r="S528" s="633"/>
      <c r="T528" s="634"/>
      <c r="U528" s="631"/>
      <c r="V528" s="624"/>
      <c r="W528" s="624"/>
      <c r="X528" s="617"/>
      <c r="Y528" s="617"/>
    </row>
    <row r="529" spans="1:25" ht="18" customHeight="1">
      <c r="A529" s="393"/>
      <c r="B529" s="399"/>
      <c r="C529" s="399"/>
      <c r="D529" s="399"/>
      <c r="E529" s="399"/>
      <c r="F529" s="399"/>
      <c r="G529" s="397"/>
      <c r="H529" s="589"/>
      <c r="I529" s="556"/>
      <c r="J529" s="590"/>
      <c r="K529" s="521" t="s">
        <v>932</v>
      </c>
      <c r="L529" s="515" t="s">
        <v>464</v>
      </c>
      <c r="M529" s="666">
        <f>T529/1000</f>
        <v>304142</v>
      </c>
      <c r="N529" s="632">
        <f>N500</f>
        <v>2346770</v>
      </c>
      <c r="O529" s="635">
        <v>1.2</v>
      </c>
      <c r="P529" s="633">
        <v>108</v>
      </c>
      <c r="Q529" s="633"/>
      <c r="R529" s="633"/>
      <c r="S529" s="633"/>
      <c r="T529" s="634">
        <f>ROUNDUP(N529*O529*P529,-3)</f>
        <v>304142000</v>
      </c>
      <c r="U529" s="631"/>
      <c r="V529" s="624"/>
      <c r="W529" s="624"/>
      <c r="X529" s="617"/>
      <c r="Y529" s="617"/>
    </row>
    <row r="530" spans="1:25" ht="18" customHeight="1">
      <c r="A530" s="393"/>
      <c r="B530" s="399"/>
      <c r="C530" s="399"/>
      <c r="D530" s="399"/>
      <c r="E530" s="399"/>
      <c r="F530" s="399"/>
      <c r="G530" s="397"/>
      <c r="H530" s="589"/>
      <c r="I530" s="556"/>
      <c r="J530" s="590"/>
      <c r="K530" s="517" t="s">
        <v>828</v>
      </c>
      <c r="L530" s="441"/>
      <c r="M530" s="1824">
        <f>M531</f>
        <v>133835</v>
      </c>
      <c r="N530" s="632"/>
      <c r="O530" s="633"/>
      <c r="P530" s="633"/>
      <c r="Q530" s="633"/>
      <c r="R530" s="633"/>
      <c r="S530" s="633"/>
      <c r="T530" s="634"/>
      <c r="U530" s="631"/>
      <c r="V530" s="624"/>
      <c r="W530" s="624"/>
      <c r="X530" s="617"/>
      <c r="Y530" s="617"/>
    </row>
    <row r="531" spans="1:25" ht="18" customHeight="1">
      <c r="A531" s="393"/>
      <c r="B531" s="399"/>
      <c r="C531" s="399"/>
      <c r="D531" s="399"/>
      <c r="E531" s="399"/>
      <c r="F531" s="399"/>
      <c r="G531" s="397"/>
      <c r="H531" s="589"/>
      <c r="I531" s="556"/>
      <c r="J531" s="590"/>
      <c r="K531" s="425" t="s">
        <v>933</v>
      </c>
      <c r="L531" s="441" t="s">
        <v>464</v>
      </c>
      <c r="M531" s="666">
        <f>T531/1000</f>
        <v>133835</v>
      </c>
      <c r="N531" s="632">
        <v>123921</v>
      </c>
      <c r="O531" s="633">
        <v>10</v>
      </c>
      <c r="P531" s="633">
        <v>108</v>
      </c>
      <c r="Q531" s="633"/>
      <c r="R531" s="633"/>
      <c r="S531" s="633"/>
      <c r="T531" s="634">
        <f>ROUNDUP(N531*O531*P531,-3)</f>
        <v>133835000</v>
      </c>
      <c r="U531" s="631"/>
      <c r="V531" s="624"/>
      <c r="W531" s="624"/>
      <c r="X531" s="617"/>
      <c r="Y531" s="617"/>
    </row>
    <row r="532" spans="1:25" ht="18" customHeight="1">
      <c r="A532" s="393"/>
      <c r="B532" s="399"/>
      <c r="C532" s="399"/>
      <c r="D532" s="399"/>
      <c r="E532" s="399"/>
      <c r="F532" s="399"/>
      <c r="G532" s="397"/>
      <c r="H532" s="589"/>
      <c r="I532" s="556"/>
      <c r="J532" s="590"/>
      <c r="K532" s="517" t="s">
        <v>893</v>
      </c>
      <c r="L532" s="515"/>
      <c r="M532" s="1824">
        <f>M533</f>
        <v>361351</v>
      </c>
      <c r="N532" s="632"/>
      <c r="O532" s="633"/>
      <c r="P532" s="633"/>
      <c r="Q532" s="633"/>
      <c r="R532" s="633"/>
      <c r="S532" s="633"/>
      <c r="T532" s="634"/>
      <c r="U532" s="631"/>
      <c r="V532" s="624"/>
      <c r="W532" s="624"/>
      <c r="X532" s="617"/>
      <c r="Y532" s="617"/>
    </row>
    <row r="533" spans="1:25" ht="18" customHeight="1">
      <c r="A533" s="393"/>
      <c r="B533" s="399"/>
      <c r="C533" s="399"/>
      <c r="D533" s="399"/>
      <c r="E533" s="399"/>
      <c r="F533" s="399"/>
      <c r="G533" s="397"/>
      <c r="H533" s="589"/>
      <c r="I533" s="556"/>
      <c r="J533" s="590"/>
      <c r="K533" s="425" t="s">
        <v>934</v>
      </c>
      <c r="L533" s="515" t="s">
        <v>464</v>
      </c>
      <c r="M533" s="666">
        <f>T533/1000</f>
        <v>361351</v>
      </c>
      <c r="N533" s="632">
        <v>23235</v>
      </c>
      <c r="O533" s="633">
        <v>12</v>
      </c>
      <c r="P533" s="633">
        <v>108</v>
      </c>
      <c r="Q533" s="633">
        <v>12</v>
      </c>
      <c r="R533" s="633"/>
      <c r="S533" s="633"/>
      <c r="T533" s="634">
        <f>ROUNDUP(N533*O533*P533*Q533,-3)</f>
        <v>361351000</v>
      </c>
      <c r="U533" s="631"/>
      <c r="V533" s="624"/>
      <c r="W533" s="624"/>
      <c r="X533" s="617"/>
      <c r="Y533" s="617"/>
    </row>
    <row r="534" spans="1:25" ht="18" customHeight="1">
      <c r="A534" s="393"/>
      <c r="B534" s="399"/>
      <c r="C534" s="399"/>
      <c r="D534" s="399"/>
      <c r="E534" s="399"/>
      <c r="F534" s="399"/>
      <c r="G534" s="397"/>
      <c r="H534" s="589"/>
      <c r="I534" s="556"/>
      <c r="J534" s="590"/>
      <c r="K534" s="517" t="s">
        <v>898</v>
      </c>
      <c r="L534" s="515"/>
      <c r="M534" s="1824">
        <f>M535</f>
        <v>501876</v>
      </c>
      <c r="N534" s="632"/>
      <c r="O534" s="633"/>
      <c r="P534" s="633"/>
      <c r="Q534" s="633"/>
      <c r="R534" s="633"/>
      <c r="S534" s="633"/>
      <c r="T534" s="634"/>
      <c r="U534" s="631"/>
      <c r="V534" s="624"/>
      <c r="W534" s="624"/>
      <c r="X534" s="617"/>
      <c r="Y534" s="617"/>
    </row>
    <row r="535" spans="1:25" ht="18" customHeight="1">
      <c r="A535" s="393"/>
      <c r="B535" s="399"/>
      <c r="C535" s="399"/>
      <c r="D535" s="399"/>
      <c r="E535" s="399"/>
      <c r="F535" s="399"/>
      <c r="G535" s="397"/>
      <c r="H535" s="589"/>
      <c r="I535" s="556"/>
      <c r="J535" s="590"/>
      <c r="K535" s="425" t="s">
        <v>935</v>
      </c>
      <c r="L535" s="515" t="s">
        <v>464</v>
      </c>
      <c r="M535" s="666">
        <f>T535/1000</f>
        <v>501876</v>
      </c>
      <c r="N535" s="632">
        <v>23235</v>
      </c>
      <c r="O535" s="633">
        <v>8</v>
      </c>
      <c r="P535" s="633">
        <v>108</v>
      </c>
      <c r="Q535" s="633">
        <v>25</v>
      </c>
      <c r="R535" s="633"/>
      <c r="S535" s="633"/>
      <c r="T535" s="634">
        <f>ROUNDUP(N535*O535*P535*Q535,-3)</f>
        <v>501876000</v>
      </c>
      <c r="U535" s="631"/>
      <c r="V535" s="624"/>
      <c r="W535" s="624"/>
      <c r="X535" s="617"/>
      <c r="Y535" s="617"/>
    </row>
    <row r="536" spans="1:25" ht="18" customHeight="1">
      <c r="A536" s="393"/>
      <c r="B536" s="399"/>
      <c r="C536" s="399"/>
      <c r="D536" s="399"/>
      <c r="E536" s="399"/>
      <c r="F536" s="399"/>
      <c r="G536" s="397"/>
      <c r="H536" s="589"/>
      <c r="I536" s="556"/>
      <c r="J536" s="590"/>
      <c r="K536" s="517" t="s">
        <v>903</v>
      </c>
      <c r="L536" s="515"/>
      <c r="M536" s="1824">
        <f>M537</f>
        <v>401501</v>
      </c>
      <c r="N536" s="632"/>
      <c r="O536" s="633"/>
      <c r="P536" s="633"/>
      <c r="Q536" s="633"/>
      <c r="R536" s="633"/>
      <c r="S536" s="633"/>
      <c r="T536" s="634"/>
      <c r="U536" s="631"/>
      <c r="V536" s="624"/>
      <c r="W536" s="624"/>
      <c r="X536" s="617"/>
      <c r="Y536" s="617"/>
    </row>
    <row r="537" spans="1:25" ht="18" customHeight="1">
      <c r="A537" s="393"/>
      <c r="B537" s="399"/>
      <c r="C537" s="399"/>
      <c r="D537" s="399"/>
      <c r="E537" s="399"/>
      <c r="F537" s="399"/>
      <c r="G537" s="397"/>
      <c r="H537" s="592"/>
      <c r="I537" s="556"/>
      <c r="J537" s="595"/>
      <c r="K537" s="425" t="s">
        <v>936</v>
      </c>
      <c r="L537" s="515" t="s">
        <v>464</v>
      </c>
      <c r="M537" s="666">
        <f>T537/1000</f>
        <v>401501</v>
      </c>
      <c r="N537" s="632">
        <v>7745</v>
      </c>
      <c r="O537" s="633">
        <v>40</v>
      </c>
      <c r="P537" s="633">
        <v>108</v>
      </c>
      <c r="Q537" s="633">
        <v>12</v>
      </c>
      <c r="R537" s="633"/>
      <c r="S537" s="633"/>
      <c r="T537" s="634">
        <f>ROUNDUP(N537*O537*P537*Q537,-3)</f>
        <v>401501000</v>
      </c>
      <c r="U537" s="631"/>
      <c r="V537" s="624"/>
      <c r="W537" s="624"/>
      <c r="X537" s="617"/>
      <c r="Y537" s="617"/>
    </row>
    <row r="538" spans="1:25" ht="18" customHeight="1">
      <c r="A538" s="393"/>
      <c r="B538" s="399"/>
      <c r="C538" s="399"/>
      <c r="D538" s="399"/>
      <c r="E538" s="399"/>
      <c r="F538" s="399"/>
      <c r="G538" s="396" t="s">
        <v>447</v>
      </c>
      <c r="H538" s="589">
        <f>M538</f>
        <v>47809</v>
      </c>
      <c r="I538" s="558">
        <v>43099</v>
      </c>
      <c r="J538" s="594">
        <f>H538-I538</f>
        <v>4710</v>
      </c>
      <c r="K538" s="519" t="s">
        <v>978</v>
      </c>
      <c r="L538" s="522"/>
      <c r="M538" s="1827">
        <f>M539+M543</f>
        <v>47809</v>
      </c>
      <c r="N538" s="632"/>
      <c r="O538" s="633"/>
      <c r="P538" s="633"/>
      <c r="Q538" s="633"/>
      <c r="R538" s="633"/>
      <c r="S538" s="633"/>
      <c r="T538" s="634"/>
      <c r="U538" s="631"/>
      <c r="V538" s="624"/>
      <c r="W538" s="624"/>
      <c r="X538" s="617"/>
      <c r="Y538" s="624"/>
    </row>
    <row r="539" spans="1:25" ht="18" customHeight="1">
      <c r="A539" s="393"/>
      <c r="B539" s="399"/>
      <c r="C539" s="399"/>
      <c r="D539" s="399"/>
      <c r="E539" s="399"/>
      <c r="F539" s="399"/>
      <c r="G539" s="401"/>
      <c r="H539" s="589"/>
      <c r="I539" s="556"/>
      <c r="J539" s="590"/>
      <c r="K539" s="513" t="s">
        <v>937</v>
      </c>
      <c r="L539" s="514"/>
      <c r="M539" s="1824">
        <f>SUM(M540:M542)</f>
        <v>18144</v>
      </c>
      <c r="N539" s="637"/>
      <c r="O539" s="638"/>
      <c r="P539" s="638"/>
      <c r="Q539" s="638"/>
      <c r="R539" s="638"/>
      <c r="S539" s="638"/>
      <c r="T539" s="639"/>
      <c r="U539" s="631"/>
      <c r="V539" s="624"/>
      <c r="W539" s="624"/>
      <c r="X539" s="617"/>
      <c r="Y539" s="624"/>
    </row>
    <row r="540" spans="1:25" ht="18" customHeight="1">
      <c r="A540" s="402"/>
      <c r="B540" s="403"/>
      <c r="C540" s="403"/>
      <c r="D540" s="403"/>
      <c r="E540" s="403"/>
      <c r="F540" s="404"/>
      <c r="G540" s="405"/>
      <c r="H540" s="589"/>
      <c r="I540" s="577"/>
      <c r="J540" s="590"/>
      <c r="K540" s="523" t="s">
        <v>938</v>
      </c>
      <c r="L540" s="524" t="s">
        <v>464</v>
      </c>
      <c r="M540" s="666">
        <v>14515</v>
      </c>
      <c r="N540" s="637">
        <v>11340</v>
      </c>
      <c r="O540" s="638">
        <v>8</v>
      </c>
      <c r="P540" s="638">
        <v>8</v>
      </c>
      <c r="Q540" s="638">
        <v>5</v>
      </c>
      <c r="R540" s="638">
        <v>4</v>
      </c>
      <c r="S540" s="638"/>
      <c r="T540" s="639">
        <f>ROUNDUP(N540*O540*P540*Q540*R540,-3)</f>
        <v>14516000</v>
      </c>
      <c r="U540" s="640"/>
      <c r="V540" s="641"/>
      <c r="W540" s="624"/>
      <c r="X540" s="617"/>
      <c r="Y540" s="642"/>
    </row>
    <row r="541" spans="1:25" ht="18" customHeight="1">
      <c r="A541" s="402"/>
      <c r="B541" s="403"/>
      <c r="C541" s="403"/>
      <c r="D541" s="403"/>
      <c r="E541" s="403"/>
      <c r="F541" s="404"/>
      <c r="G541" s="405"/>
      <c r="H541" s="589"/>
      <c r="I541" s="577"/>
      <c r="J541" s="590"/>
      <c r="K541" s="525" t="s">
        <v>939</v>
      </c>
      <c r="L541" s="524" t="s">
        <v>464</v>
      </c>
      <c r="M541" s="666">
        <v>2903</v>
      </c>
      <c r="N541" s="637">
        <v>11340</v>
      </c>
      <c r="O541" s="638">
        <v>8</v>
      </c>
      <c r="P541" s="638">
        <v>8</v>
      </c>
      <c r="Q541" s="638">
        <v>4</v>
      </c>
      <c r="R541" s="638"/>
      <c r="S541" s="638"/>
      <c r="T541" s="634">
        <f>ROUNDUP(N541*O541*P541*Q541,-3)</f>
        <v>2904000</v>
      </c>
      <c r="U541" s="640"/>
      <c r="V541" s="641"/>
      <c r="W541" s="624"/>
      <c r="X541" s="617"/>
      <c r="Y541" s="642"/>
    </row>
    <row r="542" spans="1:25" ht="18" customHeight="1">
      <c r="A542" s="402"/>
      <c r="B542" s="403"/>
      <c r="C542" s="403"/>
      <c r="D542" s="403"/>
      <c r="E542" s="403"/>
      <c r="F542" s="404"/>
      <c r="G542" s="405"/>
      <c r="H542" s="589"/>
      <c r="I542" s="577"/>
      <c r="J542" s="590"/>
      <c r="K542" s="526" t="s">
        <v>940</v>
      </c>
      <c r="L542" s="524" t="s">
        <v>464</v>
      </c>
      <c r="M542" s="666">
        <f t="shared" ref="M542" si="39">T542/1000</f>
        <v>726</v>
      </c>
      <c r="N542" s="637">
        <v>11340</v>
      </c>
      <c r="O542" s="638">
        <v>8</v>
      </c>
      <c r="P542" s="638">
        <v>8</v>
      </c>
      <c r="Q542" s="638">
        <v>1</v>
      </c>
      <c r="R542" s="638"/>
      <c r="S542" s="638"/>
      <c r="T542" s="634">
        <f>ROUNDUP(N542*O542*P542*Q542,-3)</f>
        <v>726000</v>
      </c>
      <c r="U542" s="640"/>
      <c r="V542" s="641"/>
      <c r="W542" s="624"/>
      <c r="X542" s="617"/>
      <c r="Y542" s="642"/>
    </row>
    <row r="543" spans="1:25" ht="18" customHeight="1">
      <c r="A543" s="402"/>
      <c r="B543" s="403"/>
      <c r="C543" s="403"/>
      <c r="D543" s="403"/>
      <c r="E543" s="403"/>
      <c r="F543" s="404"/>
      <c r="G543" s="405"/>
      <c r="H543" s="589"/>
      <c r="I543" s="577"/>
      <c r="J543" s="590"/>
      <c r="K543" s="2161" t="s">
        <v>941</v>
      </c>
      <c r="L543" s="524"/>
      <c r="M543" s="1824">
        <f>SUM(M544:M546)</f>
        <v>29665</v>
      </c>
      <c r="N543" s="637"/>
      <c r="O543" s="638"/>
      <c r="P543" s="638"/>
      <c r="Q543" s="638"/>
      <c r="R543" s="638"/>
      <c r="S543" s="638"/>
      <c r="T543" s="639"/>
      <c r="U543" s="640"/>
      <c r="V543" s="641"/>
      <c r="W543" s="624"/>
      <c r="X543" s="624"/>
      <c r="Y543" s="642"/>
    </row>
    <row r="544" spans="1:25" ht="18" customHeight="1">
      <c r="A544" s="402"/>
      <c r="B544" s="403"/>
      <c r="C544" s="403"/>
      <c r="D544" s="403"/>
      <c r="E544" s="403"/>
      <c r="F544" s="404"/>
      <c r="G544" s="405"/>
      <c r="H544" s="589"/>
      <c r="I544" s="577"/>
      <c r="J544" s="590"/>
      <c r="K544" s="2162" t="s">
        <v>942</v>
      </c>
      <c r="L544" s="524" t="s">
        <v>464</v>
      </c>
      <c r="M544" s="666">
        <v>23587</v>
      </c>
      <c r="N544" s="637">
        <v>11340</v>
      </c>
      <c r="O544" s="638">
        <v>4</v>
      </c>
      <c r="P544" s="638">
        <v>2</v>
      </c>
      <c r="Q544" s="638">
        <v>5</v>
      </c>
      <c r="R544" s="638">
        <v>52</v>
      </c>
      <c r="S544" s="638"/>
      <c r="T544" s="639">
        <f>ROUNDUP(N544*O544*P544*Q544*R544,-3)</f>
        <v>23588000</v>
      </c>
      <c r="U544" s="640"/>
      <c r="V544" s="641"/>
      <c r="W544" s="624"/>
      <c r="X544" s="624"/>
      <c r="Y544" s="642"/>
    </row>
    <row r="545" spans="1:25" ht="18" customHeight="1">
      <c r="A545" s="402"/>
      <c r="B545" s="403"/>
      <c r="C545" s="403"/>
      <c r="D545" s="403"/>
      <c r="E545" s="403"/>
      <c r="F545" s="404"/>
      <c r="G545" s="405"/>
      <c r="H545" s="589"/>
      <c r="I545" s="577"/>
      <c r="J545" s="590"/>
      <c r="K545" s="525" t="s">
        <v>943</v>
      </c>
      <c r="L545" s="524" t="s">
        <v>464</v>
      </c>
      <c r="M545" s="666">
        <v>4717</v>
      </c>
      <c r="N545" s="637">
        <v>11340</v>
      </c>
      <c r="O545" s="638">
        <v>4</v>
      </c>
      <c r="P545" s="638">
        <v>2</v>
      </c>
      <c r="Q545" s="638">
        <v>52</v>
      </c>
      <c r="R545" s="638"/>
      <c r="S545" s="638"/>
      <c r="T545" s="634">
        <f>ROUNDUP(N545*O545*P545*Q545,-3)</f>
        <v>4718000</v>
      </c>
      <c r="U545" s="640"/>
      <c r="V545" s="641"/>
      <c r="W545" s="641"/>
      <c r="X545" s="642"/>
      <c r="Y545" s="642"/>
    </row>
    <row r="546" spans="1:25" ht="18" customHeight="1">
      <c r="A546" s="402"/>
      <c r="B546" s="403"/>
      <c r="C546" s="403"/>
      <c r="D546" s="403"/>
      <c r="E546" s="403"/>
      <c r="F546" s="404"/>
      <c r="G546" s="405"/>
      <c r="H546" s="592"/>
      <c r="I546" s="577"/>
      <c r="J546" s="595"/>
      <c r="K546" s="546" t="s">
        <v>944</v>
      </c>
      <c r="L546" s="547" t="s">
        <v>464</v>
      </c>
      <c r="M546" s="1078">
        <f t="shared" ref="M546" si="40">T546/1000</f>
        <v>1361</v>
      </c>
      <c r="N546" s="632">
        <v>11340</v>
      </c>
      <c r="O546" s="633">
        <v>4</v>
      </c>
      <c r="P546" s="633">
        <v>2</v>
      </c>
      <c r="Q546" s="633">
        <v>15</v>
      </c>
      <c r="R546" s="633"/>
      <c r="S546" s="633"/>
      <c r="T546" s="634">
        <f>ROUNDUP(N546*O546*P546*Q546,-3)</f>
        <v>1361000</v>
      </c>
      <c r="U546" s="640"/>
      <c r="V546" s="641"/>
      <c r="W546" s="641"/>
      <c r="X546" s="642"/>
      <c r="Y546" s="642"/>
    </row>
    <row r="547" spans="1:25" ht="18" customHeight="1">
      <c r="A547" s="340"/>
      <c r="B547" s="350"/>
      <c r="C547" s="350"/>
      <c r="D547" s="350"/>
      <c r="E547" s="350"/>
      <c r="F547" s="2360" t="s">
        <v>448</v>
      </c>
      <c r="G547" s="2361"/>
      <c r="H547" s="589">
        <f>M547</f>
        <v>1000000</v>
      </c>
      <c r="I547" s="571">
        <v>1000000</v>
      </c>
      <c r="J547" s="595">
        <f>H547-I547</f>
        <v>0</v>
      </c>
      <c r="K547" s="545"/>
      <c r="L547" s="430"/>
      <c r="M547" s="1078">
        <f>M548</f>
        <v>1000000</v>
      </c>
      <c r="N547" s="632"/>
      <c r="O547" s="633"/>
      <c r="P547" s="633"/>
      <c r="Q547" s="633"/>
      <c r="R547" s="633"/>
      <c r="S547" s="633"/>
      <c r="T547" s="634"/>
      <c r="U547" s="631"/>
      <c r="V547" s="624"/>
      <c r="W547" s="641"/>
      <c r="X547" s="642"/>
      <c r="Y547" s="389"/>
    </row>
    <row r="548" spans="1:25" ht="93" customHeight="1">
      <c r="A548" s="393"/>
      <c r="B548" s="394"/>
      <c r="C548" s="394"/>
      <c r="D548" s="406"/>
      <c r="E548" s="406"/>
      <c r="F548" s="407"/>
      <c r="G548" s="408"/>
      <c r="H548" s="591"/>
      <c r="I548" s="559"/>
      <c r="J548" s="595"/>
      <c r="K548" s="527" t="s">
        <v>945</v>
      </c>
      <c r="L548" s="481" t="s">
        <v>464</v>
      </c>
      <c r="M548" s="1078">
        <v>1000000</v>
      </c>
      <c r="N548" s="632"/>
      <c r="O548" s="633"/>
      <c r="P548" s="633"/>
      <c r="Q548" s="633"/>
      <c r="R548" s="633"/>
      <c r="S548" s="633"/>
      <c r="T548" s="634"/>
      <c r="U548" s="631"/>
      <c r="V548" s="624"/>
      <c r="W548" s="641"/>
      <c r="X548" s="642"/>
      <c r="Y548" s="624"/>
    </row>
    <row r="549" spans="1:25" ht="18" customHeight="1">
      <c r="A549" s="340"/>
      <c r="B549" s="344"/>
      <c r="C549" s="344"/>
      <c r="D549" s="344"/>
      <c r="E549" s="344"/>
      <c r="F549" s="2360" t="s">
        <v>449</v>
      </c>
      <c r="G549" s="2362"/>
      <c r="H549" s="592">
        <f>H550+H553</f>
        <v>882880</v>
      </c>
      <c r="I549" s="571">
        <v>771533</v>
      </c>
      <c r="J549" s="595">
        <f>H549-I549</f>
        <v>111347</v>
      </c>
      <c r="K549" s="480"/>
      <c r="L549" s="430"/>
      <c r="M549" s="1078"/>
      <c r="N549" s="632"/>
      <c r="O549" s="633"/>
      <c r="P549" s="633"/>
      <c r="Q549" s="633"/>
      <c r="R549" s="633"/>
      <c r="S549" s="633"/>
      <c r="T549" s="634"/>
      <c r="U549" s="631"/>
      <c r="V549" s="624"/>
      <c r="W549" s="641"/>
      <c r="X549" s="642"/>
      <c r="Y549" s="389"/>
    </row>
    <row r="550" spans="1:25" ht="18" customHeight="1">
      <c r="A550" s="340"/>
      <c r="B550" s="344"/>
      <c r="C550" s="344"/>
      <c r="D550" s="344"/>
      <c r="E550" s="344"/>
      <c r="F550" s="350"/>
      <c r="G550" s="344" t="s">
        <v>450</v>
      </c>
      <c r="H550" s="589">
        <f>M550</f>
        <v>608880</v>
      </c>
      <c r="I550" s="565">
        <v>579733</v>
      </c>
      <c r="J550" s="590">
        <f>H550-I550</f>
        <v>29147</v>
      </c>
      <c r="K550" s="544" t="s">
        <v>946</v>
      </c>
      <c r="L550" s="389"/>
      <c r="M550" s="1824">
        <f>M551</f>
        <v>608880</v>
      </c>
      <c r="N550" s="632"/>
      <c r="O550" s="633"/>
      <c r="P550" s="633"/>
      <c r="Q550" s="633"/>
      <c r="R550" s="633"/>
      <c r="S550" s="633"/>
      <c r="T550" s="634"/>
      <c r="U550" s="631"/>
      <c r="V550" s="624"/>
      <c r="W550" s="641"/>
      <c r="X550" s="642"/>
      <c r="Y550" s="389"/>
    </row>
    <row r="551" spans="1:25" ht="18" customHeight="1">
      <c r="A551" s="340"/>
      <c r="B551" s="344"/>
      <c r="C551" s="344"/>
      <c r="D551" s="344"/>
      <c r="E551" s="344"/>
      <c r="F551" s="350"/>
      <c r="G551" s="344"/>
      <c r="H551" s="589"/>
      <c r="I551" s="565"/>
      <c r="J551" s="590"/>
      <c r="K551" s="443" t="s">
        <v>947</v>
      </c>
      <c r="L551" s="441"/>
      <c r="M551" s="666">
        <f>M552</f>
        <v>608880</v>
      </c>
      <c r="N551" s="632"/>
      <c r="O551" s="643">
        <v>338267000</v>
      </c>
      <c r="P551" s="644">
        <v>1.8</v>
      </c>
      <c r="Q551" s="645">
        <v>1</v>
      </c>
      <c r="R551" s="646"/>
      <c r="S551" s="647">
        <f>O551*P551*Q551</f>
        <v>608880600</v>
      </c>
      <c r="T551" s="634"/>
      <c r="U551" s="631"/>
      <c r="V551" s="624"/>
      <c r="W551" s="624"/>
      <c r="X551" s="389"/>
      <c r="Y551" s="389"/>
    </row>
    <row r="552" spans="1:25" ht="18" customHeight="1">
      <c r="A552" s="340"/>
      <c r="B552" s="344"/>
      <c r="C552" s="344"/>
      <c r="D552" s="344"/>
      <c r="E552" s="344"/>
      <c r="F552" s="350"/>
      <c r="G552" s="344"/>
      <c r="H552" s="592"/>
      <c r="I552" s="565"/>
      <c r="J552" s="595"/>
      <c r="K552" s="490" t="s">
        <v>948</v>
      </c>
      <c r="L552" s="430" t="s">
        <v>242</v>
      </c>
      <c r="M552" s="1078">
        <v>608880</v>
      </c>
      <c r="N552" s="632"/>
      <c r="O552" s="648"/>
      <c r="P552" s="649"/>
      <c r="Q552" s="649"/>
      <c r="R552" s="650"/>
      <c r="S552" s="651"/>
      <c r="T552" s="634"/>
      <c r="U552" s="631"/>
      <c r="V552" s="624"/>
      <c r="W552" s="624"/>
      <c r="X552" s="624"/>
      <c r="Y552" s="389"/>
    </row>
    <row r="553" spans="1:25" ht="18" customHeight="1">
      <c r="A553" s="340"/>
      <c r="B553" s="344"/>
      <c r="C553" s="344"/>
      <c r="D553" s="344"/>
      <c r="E553" s="344"/>
      <c r="F553" s="350"/>
      <c r="G553" s="346" t="s">
        <v>451</v>
      </c>
      <c r="H553" s="589">
        <f>M553</f>
        <v>274000</v>
      </c>
      <c r="I553" s="570">
        <v>191800</v>
      </c>
      <c r="J553" s="590">
        <f>H553-I553</f>
        <v>82200</v>
      </c>
      <c r="K553" s="544" t="s">
        <v>949</v>
      </c>
      <c r="L553" s="441"/>
      <c r="M553" s="1824">
        <f>M554</f>
        <v>274000</v>
      </c>
      <c r="N553" s="632"/>
      <c r="O553" s="652">
        <v>1000000</v>
      </c>
      <c r="P553" s="653">
        <v>274</v>
      </c>
      <c r="Q553" s="653">
        <v>1</v>
      </c>
      <c r="R553" s="654"/>
      <c r="S553" s="655">
        <f>O553*P553*Q553</f>
        <v>274000000</v>
      </c>
      <c r="T553" s="634"/>
      <c r="U553" s="631"/>
      <c r="V553" s="624"/>
      <c r="W553" s="624"/>
      <c r="X553" s="389"/>
      <c r="Y553" s="389"/>
    </row>
    <row r="554" spans="1:25" ht="18" customHeight="1" thickBot="1">
      <c r="A554" s="340"/>
      <c r="B554" s="344"/>
      <c r="C554" s="344"/>
      <c r="D554" s="344"/>
      <c r="E554" s="344"/>
      <c r="F554" s="409"/>
      <c r="G554" s="410"/>
      <c r="H554" s="598"/>
      <c r="I554" s="564"/>
      <c r="J554" s="599"/>
      <c r="K554" s="542" t="s">
        <v>950</v>
      </c>
      <c r="L554" s="543" t="s">
        <v>242</v>
      </c>
      <c r="M554" s="1077">
        <v>274000</v>
      </c>
      <c r="N554" s="656"/>
      <c r="O554" s="657"/>
      <c r="P554" s="653"/>
      <c r="Q554" s="658"/>
      <c r="R554" s="659"/>
      <c r="S554" s="647"/>
      <c r="T554" s="660"/>
      <c r="U554" s="631"/>
      <c r="V554" s="624"/>
      <c r="W554" s="624"/>
      <c r="X554" s="389"/>
      <c r="Y554" s="389"/>
    </row>
    <row r="555" spans="1:25" ht="18" customHeight="1">
      <c r="A555" s="2363" t="s">
        <v>452</v>
      </c>
      <c r="B555" s="2364"/>
      <c r="C555" s="2364"/>
      <c r="D555" s="2364"/>
      <c r="E555" s="2364"/>
      <c r="F555" s="2364"/>
      <c r="G555" s="2365"/>
      <c r="H555" s="606">
        <f>H556</f>
        <v>501352</v>
      </c>
      <c r="I555" s="578">
        <v>508000</v>
      </c>
      <c r="J555" s="607">
        <f t="shared" ref="J555:J561" si="41">H555-I555</f>
        <v>-6648</v>
      </c>
      <c r="K555" s="444"/>
      <c r="L555" s="489"/>
      <c r="M555" s="666"/>
      <c r="N555" s="632"/>
      <c r="O555" s="633"/>
      <c r="P555" s="661"/>
      <c r="Q555" s="633"/>
      <c r="R555" s="661"/>
      <c r="S555" s="661"/>
      <c r="T555" s="634"/>
      <c r="U555" s="662"/>
      <c r="V555" s="663"/>
      <c r="W555" s="624"/>
      <c r="X555" s="389"/>
      <c r="Y555" s="361"/>
    </row>
    <row r="556" spans="1:25" ht="18" customHeight="1">
      <c r="A556" s="340"/>
      <c r="B556" s="341" t="s">
        <v>143</v>
      </c>
      <c r="C556" s="342"/>
      <c r="D556" s="342"/>
      <c r="E556" s="342"/>
      <c r="F556" s="342"/>
      <c r="G556" s="343"/>
      <c r="H556" s="608">
        <f>H557</f>
        <v>501352</v>
      </c>
      <c r="I556" s="561">
        <v>508000</v>
      </c>
      <c r="J556" s="601">
        <f t="shared" si="41"/>
        <v>-6648</v>
      </c>
      <c r="K556" s="540"/>
      <c r="L556" s="541"/>
      <c r="M556" s="668"/>
      <c r="N556" s="632"/>
      <c r="O556" s="633"/>
      <c r="P556" s="633"/>
      <c r="Q556" s="633"/>
      <c r="R556" s="633"/>
      <c r="S556" s="633"/>
      <c r="T556" s="634"/>
      <c r="U556" s="631"/>
      <c r="V556" s="624"/>
      <c r="W556" s="624"/>
      <c r="X556" s="389"/>
      <c r="Y556" s="389"/>
    </row>
    <row r="557" spans="1:25" ht="18" customHeight="1">
      <c r="A557" s="340"/>
      <c r="B557" s="344"/>
      <c r="C557" s="341" t="s">
        <v>382</v>
      </c>
      <c r="D557" s="342"/>
      <c r="E557" s="411"/>
      <c r="F557" s="411"/>
      <c r="G557" s="412"/>
      <c r="H557" s="608">
        <f>H558+H564</f>
        <v>501352</v>
      </c>
      <c r="I557" s="579">
        <v>508000</v>
      </c>
      <c r="J557" s="601">
        <f t="shared" si="41"/>
        <v>-6648</v>
      </c>
      <c r="K557" s="540"/>
      <c r="L557" s="541"/>
      <c r="M557" s="668"/>
      <c r="N557" s="632"/>
      <c r="O557" s="633"/>
      <c r="P557" s="633"/>
      <c r="Q557" s="633"/>
      <c r="R557" s="633"/>
      <c r="S557" s="633"/>
      <c r="T557" s="634"/>
      <c r="U557" s="631"/>
      <c r="V557" s="624"/>
      <c r="W557" s="624"/>
      <c r="X557" s="389"/>
      <c r="Y557" s="389"/>
    </row>
    <row r="558" spans="1:25" ht="18" customHeight="1">
      <c r="A558" s="345"/>
      <c r="B558" s="344"/>
      <c r="C558" s="346"/>
      <c r="D558" s="341" t="s">
        <v>453</v>
      </c>
      <c r="E558" s="413"/>
      <c r="F558" s="413"/>
      <c r="G558" s="414"/>
      <c r="H558" s="600">
        <f>H559</f>
        <v>1352</v>
      </c>
      <c r="I558" s="563">
        <v>8000</v>
      </c>
      <c r="J558" s="601">
        <f t="shared" si="41"/>
        <v>-6648</v>
      </c>
      <c r="K558" s="539"/>
      <c r="L558" s="537"/>
      <c r="M558" s="1078"/>
      <c r="N558" s="632"/>
      <c r="O558" s="633"/>
      <c r="P558" s="633"/>
      <c r="Q558" s="633"/>
      <c r="R558" s="633"/>
      <c r="S558" s="633"/>
      <c r="T558" s="634"/>
      <c r="U558" s="631"/>
      <c r="V558" s="624"/>
      <c r="W558" s="624"/>
      <c r="X558" s="389"/>
      <c r="Y558" s="617"/>
    </row>
    <row r="559" spans="1:25" ht="18" customHeight="1">
      <c r="A559" s="340"/>
      <c r="B559" s="344"/>
      <c r="C559" s="344"/>
      <c r="D559" s="346"/>
      <c r="E559" s="391" t="s">
        <v>454</v>
      </c>
      <c r="F559" s="415"/>
      <c r="G559" s="392"/>
      <c r="H559" s="592">
        <f>H560</f>
        <v>1352</v>
      </c>
      <c r="I559" s="571">
        <v>8000</v>
      </c>
      <c r="J559" s="597">
        <f t="shared" si="41"/>
        <v>-6648</v>
      </c>
      <c r="K559" s="480"/>
      <c r="L559" s="536"/>
      <c r="M559" s="1078"/>
      <c r="N559" s="632"/>
      <c r="O559" s="633"/>
      <c r="P559" s="633"/>
      <c r="Q559" s="633"/>
      <c r="R559" s="633"/>
      <c r="S559" s="633"/>
      <c r="T559" s="634"/>
      <c r="U559" s="631"/>
      <c r="V559" s="624"/>
      <c r="W559" s="663"/>
      <c r="X559" s="361"/>
      <c r="Y559" s="617"/>
    </row>
    <row r="560" spans="1:25" ht="18" customHeight="1">
      <c r="A560" s="340"/>
      <c r="B560" s="344"/>
      <c r="C560" s="350"/>
      <c r="D560" s="416"/>
      <c r="E560" s="350"/>
      <c r="F560" s="2354" t="s">
        <v>455</v>
      </c>
      <c r="G560" s="2355"/>
      <c r="H560" s="592">
        <f>H561</f>
        <v>1352</v>
      </c>
      <c r="I560" s="571">
        <v>8000</v>
      </c>
      <c r="J560" s="597">
        <f t="shared" si="41"/>
        <v>-6648</v>
      </c>
      <c r="K560" s="535"/>
      <c r="L560" s="536"/>
      <c r="M560" s="1078"/>
      <c r="N560" s="632"/>
      <c r="O560" s="633"/>
      <c r="P560" s="633"/>
      <c r="Q560" s="633"/>
      <c r="R560" s="633"/>
      <c r="S560" s="633"/>
      <c r="T560" s="634"/>
      <c r="U560" s="631"/>
      <c r="V560" s="624"/>
      <c r="W560" s="624"/>
      <c r="X560" s="389"/>
      <c r="Y560" s="617"/>
    </row>
    <row r="561" spans="1:25" ht="18" customHeight="1">
      <c r="A561" s="340"/>
      <c r="B561" s="344"/>
      <c r="C561" s="350"/>
      <c r="D561" s="350"/>
      <c r="E561" s="350"/>
      <c r="F561" s="350"/>
      <c r="G561" s="344" t="s">
        <v>456</v>
      </c>
      <c r="H561" s="589">
        <f>M561</f>
        <v>1352</v>
      </c>
      <c r="I561" s="1907">
        <v>8000</v>
      </c>
      <c r="J561" s="594">
        <f t="shared" si="41"/>
        <v>-6648</v>
      </c>
      <c r="K561" s="444" t="s">
        <v>951</v>
      </c>
      <c r="L561" s="461"/>
      <c r="M561" s="1824">
        <f>M562</f>
        <v>1352</v>
      </c>
      <c r="N561" s="632"/>
      <c r="O561" s="633"/>
      <c r="P561" s="633"/>
      <c r="Q561" s="633"/>
      <c r="R561" s="633"/>
      <c r="S561" s="633"/>
      <c r="T561" s="634"/>
      <c r="U561" s="631"/>
      <c r="V561" s="624"/>
      <c r="W561" s="624"/>
      <c r="X561" s="389"/>
      <c r="Y561" s="617"/>
    </row>
    <row r="562" spans="1:25" ht="18" customHeight="1">
      <c r="A562" s="357"/>
      <c r="B562" s="358"/>
      <c r="C562" s="417"/>
      <c r="D562" s="417"/>
      <c r="E562" s="417"/>
      <c r="F562" s="417"/>
      <c r="G562" s="358"/>
      <c r="H562" s="589"/>
      <c r="I562" s="565"/>
      <c r="J562" s="590"/>
      <c r="K562" s="528" t="s">
        <v>952</v>
      </c>
      <c r="L562" s="529"/>
      <c r="M562" s="1824">
        <f>M563</f>
        <v>1352</v>
      </c>
      <c r="N562" s="632"/>
      <c r="O562" s="633"/>
      <c r="P562" s="633"/>
      <c r="Q562" s="633"/>
      <c r="R562" s="633"/>
      <c r="S562" s="633"/>
      <c r="T562" s="634"/>
      <c r="U562" s="631"/>
      <c r="V562" s="624"/>
      <c r="W562" s="624"/>
      <c r="X562" s="617"/>
      <c r="Y562" s="664"/>
    </row>
    <row r="563" spans="1:25" ht="18" customHeight="1">
      <c r="A563" s="418"/>
      <c r="B563" s="358"/>
      <c r="C563" s="417"/>
      <c r="D563" s="417"/>
      <c r="E563" s="417"/>
      <c r="F563" s="417"/>
      <c r="G563" s="419"/>
      <c r="H563" s="592"/>
      <c r="I563" s="580"/>
      <c r="J563" s="595"/>
      <c r="K563" s="475" t="s">
        <v>953</v>
      </c>
      <c r="L563" s="538" t="s">
        <v>464</v>
      </c>
      <c r="M563" s="1078">
        <f>T563/1000</f>
        <v>1352</v>
      </c>
      <c r="N563" s="632">
        <v>1352000</v>
      </c>
      <c r="O563" s="633">
        <v>1</v>
      </c>
      <c r="P563" s="633"/>
      <c r="Q563" s="633"/>
      <c r="R563" s="633"/>
      <c r="S563" s="633"/>
      <c r="T563" s="634">
        <f>ROUNDUP(N563*O563,-3)</f>
        <v>1352000</v>
      </c>
      <c r="U563" s="631"/>
      <c r="V563" s="624"/>
      <c r="W563" s="624"/>
      <c r="X563" s="617"/>
      <c r="Y563" s="664"/>
    </row>
    <row r="564" spans="1:25" ht="18" customHeight="1">
      <c r="A564" s="345"/>
      <c r="B564" s="344"/>
      <c r="C564" s="344"/>
      <c r="D564" s="341" t="s">
        <v>457</v>
      </c>
      <c r="E564" s="342"/>
      <c r="F564" s="342"/>
      <c r="G564" s="343"/>
      <c r="H564" s="600">
        <f>H565</f>
        <v>500000</v>
      </c>
      <c r="I564" s="562">
        <v>500000</v>
      </c>
      <c r="J564" s="601">
        <f>H564-I564</f>
        <v>0</v>
      </c>
      <c r="K564" s="511"/>
      <c r="L564" s="537"/>
      <c r="M564" s="1078"/>
      <c r="N564" s="617"/>
      <c r="O564" s="617"/>
      <c r="P564" s="617"/>
      <c r="Q564" s="617"/>
      <c r="R564" s="617"/>
      <c r="S564" s="617"/>
      <c r="T564" s="617"/>
      <c r="U564" s="631"/>
      <c r="V564" s="624"/>
      <c r="W564" s="624"/>
      <c r="X564" s="617"/>
      <c r="Y564" s="617"/>
    </row>
    <row r="565" spans="1:25" ht="18" customHeight="1">
      <c r="A565" s="340"/>
      <c r="B565" s="344"/>
      <c r="C565" s="344"/>
      <c r="D565" s="374"/>
      <c r="E565" s="391" t="s">
        <v>458</v>
      </c>
      <c r="F565" s="415"/>
      <c r="G565" s="392"/>
      <c r="H565" s="592">
        <f>H566</f>
        <v>500000</v>
      </c>
      <c r="I565" s="571">
        <v>500000</v>
      </c>
      <c r="J565" s="597">
        <f>H565-I565</f>
        <v>0</v>
      </c>
      <c r="K565" s="480"/>
      <c r="L565" s="536"/>
      <c r="M565" s="1078"/>
      <c r="N565" s="665"/>
      <c r="O565" s="665"/>
      <c r="P565" s="665"/>
      <c r="Q565" s="665"/>
      <c r="R565" s="665"/>
      <c r="S565" s="665"/>
      <c r="T565" s="665"/>
      <c r="U565" s="631"/>
      <c r="V565" s="624"/>
      <c r="W565" s="624"/>
      <c r="X565" s="664"/>
      <c r="Y565" s="617"/>
    </row>
    <row r="566" spans="1:25" ht="18" customHeight="1">
      <c r="A566" s="340"/>
      <c r="B566" s="344"/>
      <c r="C566" s="350"/>
      <c r="D566" s="350"/>
      <c r="E566" s="350"/>
      <c r="F566" s="2354" t="s">
        <v>459</v>
      </c>
      <c r="G566" s="2355"/>
      <c r="H566" s="592">
        <f>H567</f>
        <v>500000</v>
      </c>
      <c r="I566" s="571">
        <v>500000</v>
      </c>
      <c r="J566" s="597">
        <f>H566-I566</f>
        <v>0</v>
      </c>
      <c r="K566" s="535"/>
      <c r="L566" s="536"/>
      <c r="M566" s="1078"/>
      <c r="N566" s="665"/>
      <c r="O566" s="665"/>
      <c r="P566" s="665"/>
      <c r="Q566" s="665"/>
      <c r="R566" s="665"/>
      <c r="S566" s="665"/>
      <c r="T566" s="665"/>
      <c r="U566" s="631"/>
      <c r="V566" s="624"/>
      <c r="W566" s="624"/>
      <c r="X566" s="664"/>
      <c r="Y566" s="617"/>
    </row>
    <row r="567" spans="1:25" ht="18" customHeight="1" thickBot="1">
      <c r="A567" s="420"/>
      <c r="B567" s="421"/>
      <c r="C567" s="422"/>
      <c r="D567" s="422"/>
      <c r="E567" s="422"/>
      <c r="F567" s="422"/>
      <c r="G567" s="421" t="s">
        <v>460</v>
      </c>
      <c r="H567" s="598">
        <v>500000</v>
      </c>
      <c r="I567" s="1906">
        <v>500000</v>
      </c>
      <c r="J567" s="1079">
        <f>H567-I567</f>
        <v>0</v>
      </c>
      <c r="K567" s="530"/>
      <c r="L567" s="531"/>
      <c r="M567" s="1077"/>
      <c r="N567" s="665"/>
      <c r="O567" s="665"/>
      <c r="P567" s="665"/>
      <c r="Q567" s="665"/>
      <c r="R567" s="665"/>
      <c r="S567" s="665"/>
      <c r="T567" s="665"/>
      <c r="U567" s="631"/>
      <c r="V567" s="624"/>
      <c r="W567" s="624"/>
      <c r="X567" s="664"/>
      <c r="Y567" s="617"/>
    </row>
    <row r="568" spans="1:25" ht="18" customHeight="1">
      <c r="J568" s="321"/>
      <c r="N568" s="612"/>
      <c r="O568" s="613"/>
      <c r="P568" s="614"/>
      <c r="Q568" s="614"/>
      <c r="R568" s="614"/>
      <c r="S568" s="615"/>
      <c r="T568" s="616"/>
      <c r="U568" s="617"/>
      <c r="V568" s="617"/>
      <c r="W568" s="624"/>
      <c r="X568" s="664"/>
      <c r="Y568" s="617"/>
    </row>
    <row r="569" spans="1:25" ht="18" customHeight="1">
      <c r="N569" s="612"/>
      <c r="O569" s="613"/>
      <c r="P569" s="614"/>
      <c r="Q569" s="614"/>
      <c r="R569" s="614"/>
      <c r="S569" s="615"/>
      <c r="T569" s="616"/>
      <c r="U569" s="617"/>
      <c r="V569" s="617"/>
      <c r="W569" s="624"/>
      <c r="X569" s="664"/>
      <c r="Y569" s="617"/>
    </row>
    <row r="570" spans="1:25" ht="18" customHeight="1">
      <c r="N570" s="612"/>
      <c r="O570" s="613"/>
      <c r="P570" s="614"/>
      <c r="Q570" s="614"/>
      <c r="R570" s="614"/>
      <c r="S570" s="615"/>
      <c r="T570" s="616"/>
      <c r="U570" s="617"/>
      <c r="V570" s="617"/>
      <c r="W570" s="624"/>
      <c r="X570" s="664"/>
      <c r="Y570" s="617"/>
    </row>
    <row r="571" spans="1:25" ht="18" customHeight="1">
      <c r="N571" s="612"/>
      <c r="O571" s="613"/>
      <c r="P571" s="614"/>
      <c r="Q571" s="614"/>
      <c r="R571" s="614"/>
      <c r="S571" s="615"/>
      <c r="T571" s="616"/>
      <c r="U571" s="617"/>
      <c r="V571" s="617"/>
      <c r="W571" s="624"/>
      <c r="X571" s="664"/>
      <c r="Y571" s="617"/>
    </row>
    <row r="572" spans="1:25" ht="18" customHeight="1">
      <c r="N572" s="612"/>
      <c r="O572" s="613"/>
      <c r="P572" s="614"/>
      <c r="Q572" s="614"/>
      <c r="R572" s="614"/>
      <c r="S572" s="615"/>
      <c r="T572" s="616"/>
      <c r="U572" s="617"/>
      <c r="V572" s="617"/>
      <c r="W572" s="617"/>
      <c r="X572" s="617"/>
      <c r="Y572" s="617"/>
    </row>
    <row r="573" spans="1:25" ht="18" customHeight="1">
      <c r="N573" s="617"/>
      <c r="O573" s="617"/>
      <c r="P573" s="617"/>
      <c r="Q573" s="617"/>
      <c r="R573" s="617"/>
      <c r="S573" s="617"/>
      <c r="T573" s="617"/>
      <c r="U573" s="617"/>
      <c r="V573" s="617"/>
      <c r="W573" s="624"/>
      <c r="X573" s="617"/>
      <c r="Y573" s="617"/>
    </row>
    <row r="574" spans="1:25" ht="18" customHeight="1">
      <c r="N574" s="617"/>
      <c r="O574" s="617"/>
      <c r="P574" s="617"/>
      <c r="Q574" s="617"/>
      <c r="R574" s="617"/>
      <c r="S574" s="617"/>
      <c r="T574" s="617"/>
      <c r="U574" s="617"/>
      <c r="V574" s="617"/>
      <c r="W574" s="624"/>
      <c r="X574" s="617"/>
      <c r="Y574" s="617"/>
    </row>
  </sheetData>
  <mergeCells count="32">
    <mergeCell ref="F242:G242"/>
    <mergeCell ref="A2:A3"/>
    <mergeCell ref="B2:D2"/>
    <mergeCell ref="E2:G2"/>
    <mergeCell ref="H2:H3"/>
    <mergeCell ref="K2:M3"/>
    <mergeCell ref="A4:G4"/>
    <mergeCell ref="F210:G210"/>
    <mergeCell ref="F216:G216"/>
    <mergeCell ref="F220:G220"/>
    <mergeCell ref="I2:I3"/>
    <mergeCell ref="J2:J3"/>
    <mergeCell ref="F566:G566"/>
    <mergeCell ref="F251:G251"/>
    <mergeCell ref="F274:G274"/>
    <mergeCell ref="F277:G277"/>
    <mergeCell ref="F282:G282"/>
    <mergeCell ref="F301:G301"/>
    <mergeCell ref="F310:G310"/>
    <mergeCell ref="F320:G320"/>
    <mergeCell ref="F547:G547"/>
    <mergeCell ref="F549:G549"/>
    <mergeCell ref="A555:G555"/>
    <mergeCell ref="F560:G560"/>
    <mergeCell ref="N416:T416"/>
    <mergeCell ref="N499:T499"/>
    <mergeCell ref="O338:P338"/>
    <mergeCell ref="Q338:T338"/>
    <mergeCell ref="O339:P339"/>
    <mergeCell ref="Q339:T339"/>
    <mergeCell ref="N346:T346"/>
    <mergeCell ref="N405:T405"/>
  </mergeCells>
  <phoneticPr fontId="3" type="noConversion"/>
  <conditionalFormatting sqref="J1">
    <cfRule type="containsText" dxfId="35" priority="1" operator="containsText" text="허하나로">
      <formula>NOT(ISERROR(SEARCH("허하나로",H781)))</formula>
    </cfRule>
    <cfRule type="containsText" dxfId="34" priority="2" operator="containsText" text="한별">
      <formula>NOT(ISERROR(SEARCH("한별",H781)))</formula>
    </cfRule>
    <cfRule type="containsText" dxfId="33" priority="3" operator="containsText" text="정홍조">
      <formula>NOT(ISERROR(SEARCH("정홍조",H781)))</formula>
    </cfRule>
    <cfRule type="containsText" dxfId="32" priority="4" operator="containsText" text="김지윤">
      <formula>NOT(ISERROR(SEARCH("김지윤",H781)))</formula>
    </cfRule>
    <cfRule type="containsText" dxfId="31" priority="5" operator="containsText" text="전준영">
      <formula>NOT(ISERROR(SEARCH("전준영",H781)))</formula>
    </cfRule>
    <cfRule type="containsText" dxfId="30" priority="6" operator="containsText" text="차재성">
      <formula>NOT(ISERROR(SEARCH("차재성",H781)))</formula>
    </cfRule>
  </conditionalFormatting>
  <conditionalFormatting sqref="J2:J4">
    <cfRule type="containsText" dxfId="29" priority="7" operator="containsText" text="허하나로">
      <formula>NOT(ISERROR(SEARCH("허하나로",H783)))</formula>
    </cfRule>
    <cfRule type="containsText" dxfId="28" priority="8" operator="containsText" text="한별">
      <formula>NOT(ISERROR(SEARCH("한별",H783)))</formula>
    </cfRule>
    <cfRule type="containsText" dxfId="27" priority="9" operator="containsText" text="정홍조">
      <formula>NOT(ISERROR(SEARCH("정홍조",H783)))</formula>
    </cfRule>
    <cfRule type="containsText" dxfId="26" priority="10" operator="containsText" text="김지윤">
      <formula>NOT(ISERROR(SEARCH("김지윤",H783)))</formula>
    </cfRule>
    <cfRule type="containsText" dxfId="25" priority="11" operator="containsText" text="전준영">
      <formula>NOT(ISERROR(SEARCH("전준영",H783)))</formula>
    </cfRule>
    <cfRule type="containsText" dxfId="24" priority="12" operator="containsText" text="차재성">
      <formula>NOT(ISERROR(SEARCH("차재성",H783)))</formula>
    </cfRule>
  </conditionalFormatting>
  <pageMargins left="0.94488188976377951" right="0.78740157480314965" top="0.6692913385826772" bottom="0.98425196850393704" header="0.51181102362204722" footer="0.51181102362204722"/>
  <pageSetup paperSize="9" scale="58" orientation="landscape" r:id="rId1"/>
  <colBreaks count="1" manualBreakCount="1">
    <brk id="13" max="1048575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43134-A11F-41EC-9BE1-DECC06C67549}">
  <dimension ref="A1:N332"/>
  <sheetViews>
    <sheetView topLeftCell="A301" zoomScaleNormal="100" workbookViewId="0">
      <selection activeCell="H298" activeCellId="21" sqref="H10 H25 H94 H100 H106 H111 H117 H125 H137 H142 H147 H153 H166 H204 H208 H213 H222 H242 H282 H289 H293 H298"/>
    </sheetView>
  </sheetViews>
  <sheetFormatPr defaultRowHeight="18" customHeight="1"/>
  <cols>
    <col min="1" max="6" width="3.875" customWidth="1"/>
    <col min="7" max="7" width="32.625" customWidth="1"/>
    <col min="8" max="10" width="14.625" customWidth="1"/>
    <col min="11" max="11" width="56.5" customWidth="1"/>
    <col min="12" max="12" width="3.625" customWidth="1"/>
    <col min="13" max="13" width="14.625" customWidth="1"/>
  </cols>
  <sheetData>
    <row r="1" spans="1:13" ht="18" customHeight="1" thickBot="1">
      <c r="A1" s="689" t="s">
        <v>981</v>
      </c>
      <c r="B1" s="690"/>
      <c r="C1" s="690"/>
      <c r="D1" s="690"/>
      <c r="E1" s="690"/>
      <c r="F1" s="690"/>
      <c r="G1" s="691"/>
      <c r="H1" s="692"/>
      <c r="I1" s="692"/>
      <c r="J1" s="693"/>
      <c r="K1" s="694"/>
      <c r="L1" s="695"/>
      <c r="M1" s="331" t="s">
        <v>979</v>
      </c>
    </row>
    <row r="2" spans="1:13" ht="18" customHeight="1">
      <c r="A2" s="2387" t="s">
        <v>387</v>
      </c>
      <c r="B2" s="2380" t="s">
        <v>388</v>
      </c>
      <c r="C2" s="2381"/>
      <c r="D2" s="2382"/>
      <c r="E2" s="2380" t="s">
        <v>389</v>
      </c>
      <c r="F2" s="2381"/>
      <c r="G2" s="2382"/>
      <c r="H2" s="2388" t="s">
        <v>390</v>
      </c>
      <c r="I2" s="2374" t="s">
        <v>391</v>
      </c>
      <c r="J2" s="2376" t="s">
        <v>392</v>
      </c>
      <c r="K2" s="2366" t="s">
        <v>393</v>
      </c>
      <c r="L2" s="2367"/>
      <c r="M2" s="2368"/>
    </row>
    <row r="3" spans="1:13" ht="18" customHeight="1" thickBot="1">
      <c r="A3" s="2379"/>
      <c r="B3" s="332" t="s">
        <v>394</v>
      </c>
      <c r="C3" s="332" t="s">
        <v>395</v>
      </c>
      <c r="D3" s="332" t="s">
        <v>396</v>
      </c>
      <c r="E3" s="332" t="s">
        <v>397</v>
      </c>
      <c r="F3" s="332" t="s">
        <v>398</v>
      </c>
      <c r="G3" s="332" t="s">
        <v>399</v>
      </c>
      <c r="H3" s="2389"/>
      <c r="I3" s="2397"/>
      <c r="J3" s="2398"/>
      <c r="K3" s="2369"/>
      <c r="L3" s="2370"/>
      <c r="M3" s="2371"/>
    </row>
    <row r="4" spans="1:13" ht="18" customHeight="1" thickBot="1">
      <c r="A4" s="2390" t="s">
        <v>982</v>
      </c>
      <c r="B4" s="2391"/>
      <c r="C4" s="2391"/>
      <c r="D4" s="2391"/>
      <c r="E4" s="2391"/>
      <c r="F4" s="2391"/>
      <c r="G4" s="2392"/>
      <c r="H4" s="1853">
        <f>H5+H304</f>
        <v>2190135</v>
      </c>
      <c r="I4" s="1853">
        <v>2395168</v>
      </c>
      <c r="J4" s="696">
        <f>H4-I4</f>
        <v>-205033</v>
      </c>
      <c r="K4" s="697"/>
      <c r="L4" s="698"/>
      <c r="M4" s="848"/>
    </row>
    <row r="5" spans="1:13" ht="18" customHeight="1">
      <c r="A5" s="700" t="s">
        <v>131</v>
      </c>
      <c r="B5" s="701"/>
      <c r="C5" s="338"/>
      <c r="D5" s="338"/>
      <c r="E5" s="338"/>
      <c r="F5" s="338"/>
      <c r="G5" s="339"/>
      <c r="H5" s="1854">
        <f>H6</f>
        <v>2152535</v>
      </c>
      <c r="I5" s="1855">
        <v>2228418</v>
      </c>
      <c r="J5" s="682">
        <f>H5-I5</f>
        <v>-75883</v>
      </c>
      <c r="K5" s="831"/>
      <c r="L5" s="832"/>
      <c r="M5" s="850"/>
    </row>
    <row r="6" spans="1:13" ht="18" customHeight="1">
      <c r="A6" s="340"/>
      <c r="B6" s="341" t="s">
        <v>983</v>
      </c>
      <c r="C6" s="341"/>
      <c r="D6" s="342"/>
      <c r="E6" s="342"/>
      <c r="F6" s="342"/>
      <c r="G6" s="343"/>
      <c r="H6" s="1856">
        <f>H7+H114+H150+H219</f>
        <v>2152535</v>
      </c>
      <c r="I6" s="1857">
        <v>2228418</v>
      </c>
      <c r="J6" s="601">
        <f>H6-I6</f>
        <v>-75883</v>
      </c>
      <c r="K6" s="540"/>
      <c r="L6" s="541"/>
      <c r="M6" s="852"/>
    </row>
    <row r="7" spans="1:13" ht="18" customHeight="1">
      <c r="A7" s="340"/>
      <c r="B7" s="344"/>
      <c r="C7" s="317" t="s">
        <v>276</v>
      </c>
      <c r="D7" s="342"/>
      <c r="E7" s="342"/>
      <c r="F7" s="342"/>
      <c r="G7" s="343"/>
      <c r="H7" s="1856">
        <f>H8+H109</f>
        <v>1474331</v>
      </c>
      <c r="I7" s="1857">
        <v>1577711</v>
      </c>
      <c r="J7" s="601">
        <f t="shared" ref="J7:J11" si="0">H7-I7</f>
        <v>-103380</v>
      </c>
      <c r="K7" s="540"/>
      <c r="L7" s="541"/>
      <c r="M7" s="852"/>
    </row>
    <row r="8" spans="1:13" ht="18" customHeight="1">
      <c r="A8" s="340"/>
      <c r="B8" s="344"/>
      <c r="C8" s="346"/>
      <c r="D8" s="317" t="s">
        <v>277</v>
      </c>
      <c r="E8" s="342"/>
      <c r="F8" s="342"/>
      <c r="G8" s="343"/>
      <c r="H8" s="1856">
        <f>H9+H24+H105</f>
        <v>1312331</v>
      </c>
      <c r="I8" s="1858">
        <v>1396852</v>
      </c>
      <c r="J8" s="601">
        <f t="shared" si="0"/>
        <v>-84521</v>
      </c>
      <c r="K8" s="494"/>
      <c r="L8" s="541"/>
      <c r="M8" s="852"/>
    </row>
    <row r="9" spans="1:13" ht="18" customHeight="1">
      <c r="A9" s="340"/>
      <c r="B9" s="344"/>
      <c r="C9" s="702"/>
      <c r="D9" s="348"/>
      <c r="E9" s="341" t="s">
        <v>984</v>
      </c>
      <c r="F9" s="342"/>
      <c r="G9" s="343"/>
      <c r="H9" s="1856">
        <f>H10</f>
        <v>329653</v>
      </c>
      <c r="I9" s="1857">
        <v>374709</v>
      </c>
      <c r="J9" s="601">
        <f t="shared" si="0"/>
        <v>-45056</v>
      </c>
      <c r="K9" s="427"/>
      <c r="L9" s="428"/>
      <c r="M9" s="852"/>
    </row>
    <row r="10" spans="1:13" ht="18" customHeight="1">
      <c r="A10" s="706"/>
      <c r="B10" s="704"/>
      <c r="C10" s="705"/>
      <c r="D10" s="705"/>
      <c r="E10" s="705"/>
      <c r="F10" s="2393" t="s">
        <v>985</v>
      </c>
      <c r="G10" s="2394"/>
      <c r="H10" s="1859">
        <f>H11</f>
        <v>329653</v>
      </c>
      <c r="I10" s="1860">
        <v>374709</v>
      </c>
      <c r="J10" s="597">
        <f t="shared" si="0"/>
        <v>-45056</v>
      </c>
      <c r="K10" s="854"/>
      <c r="L10" s="855"/>
      <c r="M10" s="852"/>
    </row>
    <row r="11" spans="1:13" ht="18" customHeight="1">
      <c r="A11" s="706"/>
      <c r="B11" s="707"/>
      <c r="C11" s="708"/>
      <c r="D11" s="708"/>
      <c r="E11" s="708"/>
      <c r="F11" s="708"/>
      <c r="G11" s="709" t="s">
        <v>986</v>
      </c>
      <c r="H11" s="683">
        <f>M11</f>
        <v>329653</v>
      </c>
      <c r="I11" s="1861">
        <v>374709</v>
      </c>
      <c r="J11" s="590">
        <f t="shared" si="0"/>
        <v>-45056</v>
      </c>
      <c r="K11" s="856" t="s">
        <v>1003</v>
      </c>
      <c r="L11" s="780"/>
      <c r="M11" s="1824">
        <f>M12+M17+M22</f>
        <v>329653</v>
      </c>
    </row>
    <row r="12" spans="1:13" ht="18" customHeight="1">
      <c r="A12" s="706"/>
      <c r="B12" s="707"/>
      <c r="C12" s="708"/>
      <c r="D12" s="708"/>
      <c r="E12" s="708"/>
      <c r="F12" s="708"/>
      <c r="G12" s="710"/>
      <c r="H12" s="1862"/>
      <c r="I12" s="1863"/>
      <c r="J12" s="590"/>
      <c r="K12" s="857" t="s">
        <v>1011</v>
      </c>
      <c r="L12" s="780"/>
      <c r="M12" s="1824">
        <f>SUM(M13:M16)</f>
        <v>214560</v>
      </c>
    </row>
    <row r="13" spans="1:13" ht="18" customHeight="1">
      <c r="A13" s="706"/>
      <c r="B13" s="707"/>
      <c r="C13" s="708"/>
      <c r="D13" s="708"/>
      <c r="E13" s="708"/>
      <c r="F13" s="708"/>
      <c r="G13" s="710"/>
      <c r="H13" s="1862"/>
      <c r="I13" s="1863"/>
      <c r="J13" s="590"/>
      <c r="K13" s="857" t="s">
        <v>1012</v>
      </c>
      <c r="L13" s="780" t="s">
        <v>242</v>
      </c>
      <c r="M13" s="666">
        <v>143770</v>
      </c>
    </row>
    <row r="14" spans="1:13" ht="18" customHeight="1">
      <c r="A14" s="706"/>
      <c r="B14" s="707"/>
      <c r="C14" s="708"/>
      <c r="D14" s="708"/>
      <c r="E14" s="708"/>
      <c r="F14" s="708"/>
      <c r="G14" s="710"/>
      <c r="H14" s="1862"/>
      <c r="I14" s="1863"/>
      <c r="J14" s="590"/>
      <c r="K14" s="857" t="s">
        <v>1013</v>
      </c>
      <c r="L14" s="780" t="s">
        <v>242</v>
      </c>
      <c r="M14" s="666">
        <v>28760</v>
      </c>
    </row>
    <row r="15" spans="1:13" ht="18" customHeight="1">
      <c r="A15" s="706"/>
      <c r="B15" s="707"/>
      <c r="C15" s="708"/>
      <c r="D15" s="708"/>
      <c r="E15" s="708"/>
      <c r="F15" s="708"/>
      <c r="G15" s="710"/>
      <c r="H15" s="1862"/>
      <c r="I15" s="1863"/>
      <c r="J15" s="590"/>
      <c r="K15" s="857" t="s">
        <v>1014</v>
      </c>
      <c r="L15" s="780" t="s">
        <v>242</v>
      </c>
      <c r="M15" s="666">
        <v>36500</v>
      </c>
    </row>
    <row r="16" spans="1:13" ht="18" customHeight="1">
      <c r="A16" s="706"/>
      <c r="B16" s="707"/>
      <c r="C16" s="708"/>
      <c r="D16" s="708"/>
      <c r="E16" s="708"/>
      <c r="F16" s="708"/>
      <c r="G16" s="710"/>
      <c r="H16" s="1862"/>
      <c r="I16" s="1863"/>
      <c r="J16" s="590"/>
      <c r="K16" s="857" t="s">
        <v>1015</v>
      </c>
      <c r="L16" s="780" t="s">
        <v>242</v>
      </c>
      <c r="M16" s="666">
        <v>5530</v>
      </c>
    </row>
    <row r="17" spans="1:13" ht="18" customHeight="1">
      <c r="A17" s="706"/>
      <c r="B17" s="707"/>
      <c r="C17" s="708"/>
      <c r="D17" s="708"/>
      <c r="E17" s="708"/>
      <c r="F17" s="708"/>
      <c r="G17" s="710"/>
      <c r="H17" s="1862"/>
      <c r="I17" s="1863"/>
      <c r="J17" s="590"/>
      <c r="K17" s="857" t="s">
        <v>1016</v>
      </c>
      <c r="L17" s="780"/>
      <c r="M17" s="1824">
        <f>SUM(M18:M21)</f>
        <v>85040</v>
      </c>
    </row>
    <row r="18" spans="1:13" ht="18" customHeight="1">
      <c r="A18" s="706"/>
      <c r="B18" s="707"/>
      <c r="C18" s="708"/>
      <c r="D18" s="708"/>
      <c r="E18" s="708"/>
      <c r="F18" s="708"/>
      <c r="G18" s="710"/>
      <c r="H18" s="1862"/>
      <c r="I18" s="1863"/>
      <c r="J18" s="590"/>
      <c r="K18" s="857" t="s">
        <v>1017</v>
      </c>
      <c r="L18" s="780" t="s">
        <v>242</v>
      </c>
      <c r="M18" s="666">
        <v>53920</v>
      </c>
    </row>
    <row r="19" spans="1:13" ht="18" customHeight="1">
      <c r="A19" s="706"/>
      <c r="B19" s="707"/>
      <c r="C19" s="708"/>
      <c r="D19" s="708"/>
      <c r="E19" s="708"/>
      <c r="F19" s="708"/>
      <c r="G19" s="710"/>
      <c r="H19" s="1862"/>
      <c r="I19" s="1863"/>
      <c r="J19" s="590"/>
      <c r="K19" s="857" t="s">
        <v>1018</v>
      </c>
      <c r="L19" s="780" t="s">
        <v>242</v>
      </c>
      <c r="M19" s="666">
        <v>10790</v>
      </c>
    </row>
    <row r="20" spans="1:13" ht="18" customHeight="1">
      <c r="A20" s="706"/>
      <c r="B20" s="707"/>
      <c r="C20" s="708"/>
      <c r="D20" s="708"/>
      <c r="E20" s="708"/>
      <c r="F20" s="708"/>
      <c r="G20" s="710"/>
      <c r="H20" s="1862"/>
      <c r="I20" s="1863"/>
      <c r="J20" s="590"/>
      <c r="K20" s="857" t="s">
        <v>1019</v>
      </c>
      <c r="L20" s="780" t="s">
        <v>242</v>
      </c>
      <c r="M20" s="666">
        <v>18250</v>
      </c>
    </row>
    <row r="21" spans="1:13" ht="18" customHeight="1">
      <c r="A21" s="706"/>
      <c r="B21" s="707"/>
      <c r="C21" s="708"/>
      <c r="D21" s="708"/>
      <c r="E21" s="708"/>
      <c r="F21" s="708"/>
      <c r="G21" s="710"/>
      <c r="H21" s="1862"/>
      <c r="I21" s="1863"/>
      <c r="J21" s="590"/>
      <c r="K21" s="857" t="s">
        <v>1020</v>
      </c>
      <c r="L21" s="780" t="s">
        <v>242</v>
      </c>
      <c r="M21" s="666">
        <v>2080</v>
      </c>
    </row>
    <row r="22" spans="1:13" ht="18" customHeight="1">
      <c r="A22" s="706"/>
      <c r="B22" s="707"/>
      <c r="C22" s="708"/>
      <c r="D22" s="708"/>
      <c r="E22" s="708"/>
      <c r="F22" s="708"/>
      <c r="G22" s="710"/>
      <c r="H22" s="1862"/>
      <c r="I22" s="1863"/>
      <c r="J22" s="590"/>
      <c r="K22" s="778" t="s">
        <v>1021</v>
      </c>
      <c r="L22" s="780"/>
      <c r="M22" s="1824">
        <f>M23</f>
        <v>30053</v>
      </c>
    </row>
    <row r="23" spans="1:13" ht="18" customHeight="1">
      <c r="A23" s="711"/>
      <c r="B23" s="707"/>
      <c r="C23" s="712"/>
      <c r="D23" s="712"/>
      <c r="E23" s="712"/>
      <c r="F23" s="713"/>
      <c r="G23" s="710"/>
      <c r="H23" s="1864"/>
      <c r="I23" s="1865"/>
      <c r="J23" s="595"/>
      <c r="K23" s="885" t="s">
        <v>1022</v>
      </c>
      <c r="L23" s="934" t="s">
        <v>242</v>
      </c>
      <c r="M23" s="1078">
        <v>30053</v>
      </c>
    </row>
    <row r="24" spans="1:13" ht="18" customHeight="1">
      <c r="A24" s="340"/>
      <c r="B24" s="344"/>
      <c r="C24" s="347"/>
      <c r="D24" s="347"/>
      <c r="E24" s="349" t="s">
        <v>987</v>
      </c>
      <c r="F24" s="342"/>
      <c r="G24" s="343"/>
      <c r="H24" s="1866">
        <f>H25+H94+H98+H100</f>
        <v>975678</v>
      </c>
      <c r="I24" s="1867">
        <v>1015143</v>
      </c>
      <c r="J24" s="601">
        <f>H24-I24</f>
        <v>-39465</v>
      </c>
      <c r="K24" s="427"/>
      <c r="L24" s="428"/>
      <c r="M24" s="668"/>
    </row>
    <row r="25" spans="1:13" ht="18" customHeight="1">
      <c r="A25" s="711"/>
      <c r="B25" s="707"/>
      <c r="C25" s="712"/>
      <c r="D25" s="712"/>
      <c r="E25" s="712"/>
      <c r="F25" s="2395" t="s">
        <v>988</v>
      </c>
      <c r="G25" s="2396"/>
      <c r="H25" s="1868">
        <f>H26+H38+H64+H79+H85+H92</f>
        <v>955278</v>
      </c>
      <c r="I25" s="1869">
        <v>992443</v>
      </c>
      <c r="J25" s="597">
        <f t="shared" ref="J25:J26" si="1">H25-I25</f>
        <v>-37165</v>
      </c>
      <c r="K25" s="872"/>
      <c r="L25" s="799"/>
      <c r="M25" s="668"/>
    </row>
    <row r="26" spans="1:13" ht="18" customHeight="1">
      <c r="A26" s="711"/>
      <c r="B26" s="707"/>
      <c r="C26" s="712"/>
      <c r="D26" s="712"/>
      <c r="E26" s="712"/>
      <c r="F26" s="714"/>
      <c r="G26" s="709" t="s">
        <v>989</v>
      </c>
      <c r="H26" s="683">
        <f>M26</f>
        <v>114226</v>
      </c>
      <c r="I26" s="1870">
        <v>184250</v>
      </c>
      <c r="J26" s="590">
        <f t="shared" si="1"/>
        <v>-70024</v>
      </c>
      <c r="K26" s="932" t="s">
        <v>989</v>
      </c>
      <c r="L26" s="783"/>
      <c r="M26" s="1824">
        <f>M27+M28+M29+M30+M31+M32+M33+M34+M35+M36+M37</f>
        <v>114226</v>
      </c>
    </row>
    <row r="27" spans="1:13" ht="18" customHeight="1">
      <c r="A27" s="711"/>
      <c r="B27" s="707"/>
      <c r="C27" s="712"/>
      <c r="D27" s="712"/>
      <c r="E27" s="712"/>
      <c r="F27" s="715"/>
      <c r="G27" s="716"/>
      <c r="H27" s="683"/>
      <c r="I27" s="1870"/>
      <c r="J27" s="590"/>
      <c r="K27" s="782" t="s">
        <v>1023</v>
      </c>
      <c r="L27" s="783" t="s">
        <v>242</v>
      </c>
      <c r="M27" s="666">
        <v>9504</v>
      </c>
    </row>
    <row r="28" spans="1:13" ht="18" customHeight="1">
      <c r="A28" s="711"/>
      <c r="B28" s="707"/>
      <c r="C28" s="712"/>
      <c r="D28" s="712"/>
      <c r="E28" s="712"/>
      <c r="F28" s="715"/>
      <c r="G28" s="716"/>
      <c r="H28" s="683"/>
      <c r="I28" s="1870"/>
      <c r="J28" s="590"/>
      <c r="K28" s="782" t="s">
        <v>1024</v>
      </c>
      <c r="L28" s="783" t="s">
        <v>242</v>
      </c>
      <c r="M28" s="666">
        <v>3000</v>
      </c>
    </row>
    <row r="29" spans="1:13" ht="18" customHeight="1">
      <c r="A29" s="711"/>
      <c r="B29" s="707"/>
      <c r="C29" s="712"/>
      <c r="D29" s="712"/>
      <c r="E29" s="712"/>
      <c r="F29" s="715"/>
      <c r="G29" s="716"/>
      <c r="H29" s="683"/>
      <c r="I29" s="1870"/>
      <c r="J29" s="590"/>
      <c r="K29" s="782" t="s">
        <v>1025</v>
      </c>
      <c r="L29" s="783" t="s">
        <v>242</v>
      </c>
      <c r="M29" s="666">
        <v>1410</v>
      </c>
    </row>
    <row r="30" spans="1:13" ht="18" customHeight="1">
      <c r="A30" s="711"/>
      <c r="B30" s="707"/>
      <c r="C30" s="712"/>
      <c r="D30" s="712"/>
      <c r="E30" s="712"/>
      <c r="F30" s="715"/>
      <c r="G30" s="716"/>
      <c r="H30" s="683"/>
      <c r="I30" s="1870"/>
      <c r="J30" s="590"/>
      <c r="K30" s="782" t="s">
        <v>1026</v>
      </c>
      <c r="L30" s="783" t="s">
        <v>242</v>
      </c>
      <c r="M30" s="666">
        <v>10800</v>
      </c>
    </row>
    <row r="31" spans="1:13" ht="18" customHeight="1">
      <c r="A31" s="711"/>
      <c r="B31" s="707"/>
      <c r="C31" s="712"/>
      <c r="D31" s="712"/>
      <c r="E31" s="712"/>
      <c r="F31" s="715"/>
      <c r="G31" s="716"/>
      <c r="H31" s="683"/>
      <c r="I31" s="1870"/>
      <c r="J31" s="590"/>
      <c r="K31" s="782" t="s">
        <v>1027</v>
      </c>
      <c r="L31" s="783" t="s">
        <v>242</v>
      </c>
      <c r="M31" s="666">
        <v>18000</v>
      </c>
    </row>
    <row r="32" spans="1:13" ht="18" customHeight="1">
      <c r="A32" s="711"/>
      <c r="B32" s="707"/>
      <c r="C32" s="712"/>
      <c r="D32" s="712"/>
      <c r="E32" s="712"/>
      <c r="F32" s="715"/>
      <c r="G32" s="716"/>
      <c r="H32" s="683"/>
      <c r="I32" s="1870"/>
      <c r="J32" s="590"/>
      <c r="K32" s="782" t="s">
        <v>1028</v>
      </c>
      <c r="L32" s="783" t="s">
        <v>242</v>
      </c>
      <c r="M32" s="666">
        <v>25920</v>
      </c>
    </row>
    <row r="33" spans="1:13" ht="18" customHeight="1">
      <c r="A33" s="711"/>
      <c r="B33" s="707"/>
      <c r="C33" s="712"/>
      <c r="D33" s="712"/>
      <c r="E33" s="712"/>
      <c r="F33" s="715"/>
      <c r="G33" s="716"/>
      <c r="H33" s="683"/>
      <c r="I33" s="1870"/>
      <c r="J33" s="590"/>
      <c r="K33" s="782" t="s">
        <v>1029</v>
      </c>
      <c r="L33" s="783" t="s">
        <v>242</v>
      </c>
      <c r="M33" s="666">
        <v>15552</v>
      </c>
    </row>
    <row r="34" spans="1:13" ht="18" customHeight="1">
      <c r="A34" s="711"/>
      <c r="B34" s="707"/>
      <c r="C34" s="712"/>
      <c r="D34" s="712"/>
      <c r="E34" s="712"/>
      <c r="F34" s="715"/>
      <c r="G34" s="716"/>
      <c r="H34" s="683"/>
      <c r="I34" s="1870"/>
      <c r="J34" s="590"/>
      <c r="K34" s="784" t="s">
        <v>1030</v>
      </c>
      <c r="L34" s="783" t="s">
        <v>242</v>
      </c>
      <c r="M34" s="666">
        <v>10800</v>
      </c>
    </row>
    <row r="35" spans="1:13" ht="18" customHeight="1">
      <c r="A35" s="711"/>
      <c r="B35" s="707"/>
      <c r="C35" s="712"/>
      <c r="D35" s="712"/>
      <c r="E35" s="712"/>
      <c r="F35" s="715"/>
      <c r="G35" s="716"/>
      <c r="H35" s="683"/>
      <c r="I35" s="1870"/>
      <c r="J35" s="590"/>
      <c r="K35" s="784" t="s">
        <v>1031</v>
      </c>
      <c r="L35" s="783" t="s">
        <v>242</v>
      </c>
      <c r="M35" s="666">
        <v>2640</v>
      </c>
    </row>
    <row r="36" spans="1:13" ht="18" customHeight="1">
      <c r="A36" s="711"/>
      <c r="B36" s="707"/>
      <c r="C36" s="712"/>
      <c r="D36" s="712"/>
      <c r="E36" s="712"/>
      <c r="F36" s="715"/>
      <c r="G36" s="716"/>
      <c r="H36" s="683"/>
      <c r="I36" s="1870"/>
      <c r="J36" s="590"/>
      <c r="K36" s="784" t="s">
        <v>1032</v>
      </c>
      <c r="L36" s="785" t="s">
        <v>242</v>
      </c>
      <c r="M36" s="666">
        <v>1120</v>
      </c>
    </row>
    <row r="37" spans="1:13" ht="18" customHeight="1">
      <c r="A37" s="711"/>
      <c r="B37" s="707"/>
      <c r="C37" s="712"/>
      <c r="D37" s="712"/>
      <c r="E37" s="712"/>
      <c r="F37" s="715"/>
      <c r="G37" s="716"/>
      <c r="H37" s="1871"/>
      <c r="I37" s="1872"/>
      <c r="J37" s="595"/>
      <c r="K37" s="910" t="s">
        <v>1033</v>
      </c>
      <c r="L37" s="922" t="s">
        <v>242</v>
      </c>
      <c r="M37" s="1078">
        <v>15480</v>
      </c>
    </row>
    <row r="38" spans="1:13" ht="18" customHeight="1">
      <c r="A38" s="717"/>
      <c r="B38" s="205"/>
      <c r="C38" s="712"/>
      <c r="D38" s="712"/>
      <c r="E38" s="712"/>
      <c r="F38" s="715"/>
      <c r="G38" s="709" t="s">
        <v>990</v>
      </c>
      <c r="H38" s="683">
        <f>M38</f>
        <v>361368</v>
      </c>
      <c r="I38" s="1870">
        <v>315689</v>
      </c>
      <c r="J38" s="590">
        <f>H38-I38</f>
        <v>45679</v>
      </c>
      <c r="K38" s="931" t="s">
        <v>990</v>
      </c>
      <c r="L38" s="783"/>
      <c r="M38" s="1824">
        <f>M39+M41+M47+M48+M49+M52+M53+M55+M57+M56+M58+M59+M60+M62+M61+M63</f>
        <v>361368</v>
      </c>
    </row>
    <row r="39" spans="1:13" ht="18" customHeight="1">
      <c r="A39" s="717"/>
      <c r="B39" s="205"/>
      <c r="C39" s="712"/>
      <c r="D39" s="712"/>
      <c r="E39" s="712"/>
      <c r="F39" s="715"/>
      <c r="G39" s="716"/>
      <c r="H39" s="683"/>
      <c r="I39" s="1870"/>
      <c r="J39" s="590"/>
      <c r="K39" s="822" t="s">
        <v>1034</v>
      </c>
      <c r="L39" s="783"/>
      <c r="M39" s="1824">
        <f>M40</f>
        <v>43200</v>
      </c>
    </row>
    <row r="40" spans="1:13" ht="18" customHeight="1">
      <c r="A40" s="717"/>
      <c r="B40" s="205"/>
      <c r="C40" s="712"/>
      <c r="D40" s="712"/>
      <c r="E40" s="712"/>
      <c r="F40" s="715"/>
      <c r="G40" s="716"/>
      <c r="H40" s="683"/>
      <c r="I40" s="1870"/>
      <c r="J40" s="590"/>
      <c r="K40" s="859" t="s">
        <v>1035</v>
      </c>
      <c r="L40" s="783" t="s">
        <v>464</v>
      </c>
      <c r="M40" s="666">
        <v>43200</v>
      </c>
    </row>
    <row r="41" spans="1:13" ht="18" customHeight="1">
      <c r="A41" s="717"/>
      <c r="B41" s="205"/>
      <c r="C41" s="712"/>
      <c r="D41" s="712"/>
      <c r="E41" s="712"/>
      <c r="F41" s="715"/>
      <c r="G41" s="716"/>
      <c r="H41" s="683"/>
      <c r="I41" s="1870"/>
      <c r="J41" s="590"/>
      <c r="K41" s="822" t="s">
        <v>1036</v>
      </c>
      <c r="L41" s="783"/>
      <c r="M41" s="1824">
        <f>SUM(M42:M46)</f>
        <v>15360</v>
      </c>
    </row>
    <row r="42" spans="1:13" ht="18" customHeight="1">
      <c r="A42" s="717"/>
      <c r="B42" s="205"/>
      <c r="C42" s="712"/>
      <c r="D42" s="712"/>
      <c r="E42" s="712"/>
      <c r="F42" s="716"/>
      <c r="G42" s="716"/>
      <c r="H42" s="683"/>
      <c r="I42" s="1870"/>
      <c r="J42" s="590"/>
      <c r="K42" s="860" t="s">
        <v>1037</v>
      </c>
      <c r="L42" s="783" t="s">
        <v>464</v>
      </c>
      <c r="M42" s="666">
        <v>6240</v>
      </c>
    </row>
    <row r="43" spans="1:13" ht="18" customHeight="1">
      <c r="A43" s="717"/>
      <c r="B43" s="205"/>
      <c r="C43" s="712"/>
      <c r="D43" s="712"/>
      <c r="E43" s="712"/>
      <c r="F43" s="716"/>
      <c r="G43" s="716"/>
      <c r="H43" s="683"/>
      <c r="I43" s="1870"/>
      <c r="J43" s="590"/>
      <c r="K43" s="860" t="s">
        <v>1038</v>
      </c>
      <c r="L43" s="783" t="s">
        <v>464</v>
      </c>
      <c r="M43" s="666">
        <v>2280</v>
      </c>
    </row>
    <row r="44" spans="1:13" ht="18" customHeight="1">
      <c r="A44" s="717"/>
      <c r="B44" s="205"/>
      <c r="C44" s="712"/>
      <c r="D44" s="712"/>
      <c r="E44" s="712"/>
      <c r="F44" s="715"/>
      <c r="G44" s="716"/>
      <c r="H44" s="683"/>
      <c r="I44" s="1870"/>
      <c r="J44" s="590"/>
      <c r="K44" s="860" t="s">
        <v>1039</v>
      </c>
      <c r="L44" s="783" t="s">
        <v>242</v>
      </c>
      <c r="M44" s="666">
        <v>2280</v>
      </c>
    </row>
    <row r="45" spans="1:13" ht="18" customHeight="1">
      <c r="A45" s="717"/>
      <c r="B45" s="205"/>
      <c r="C45" s="712"/>
      <c r="D45" s="712"/>
      <c r="E45" s="712"/>
      <c r="F45" s="715"/>
      <c r="G45" s="716"/>
      <c r="H45" s="683"/>
      <c r="I45" s="1870"/>
      <c r="J45" s="590"/>
      <c r="K45" s="860" t="s">
        <v>1040</v>
      </c>
      <c r="L45" s="783" t="s">
        <v>242</v>
      </c>
      <c r="M45" s="666">
        <v>2280</v>
      </c>
    </row>
    <row r="46" spans="1:13" ht="18" customHeight="1">
      <c r="A46" s="717"/>
      <c r="B46" s="205"/>
      <c r="C46" s="712"/>
      <c r="D46" s="712"/>
      <c r="E46" s="712"/>
      <c r="F46" s="715"/>
      <c r="G46" s="716"/>
      <c r="H46" s="683"/>
      <c r="I46" s="1870"/>
      <c r="J46" s="590"/>
      <c r="K46" s="860" t="s">
        <v>1041</v>
      </c>
      <c r="L46" s="783" t="s">
        <v>242</v>
      </c>
      <c r="M46" s="666">
        <v>2280</v>
      </c>
    </row>
    <row r="47" spans="1:13" ht="18" customHeight="1">
      <c r="A47" s="717"/>
      <c r="B47" s="205"/>
      <c r="C47" s="712"/>
      <c r="D47" s="712"/>
      <c r="E47" s="712"/>
      <c r="F47" s="715"/>
      <c r="G47" s="716"/>
      <c r="H47" s="683"/>
      <c r="I47" s="1870"/>
      <c r="J47" s="590"/>
      <c r="K47" s="822" t="s">
        <v>1042</v>
      </c>
      <c r="L47" s="785" t="s">
        <v>464</v>
      </c>
      <c r="M47" s="1824">
        <v>4440</v>
      </c>
    </row>
    <row r="48" spans="1:13" ht="18" customHeight="1">
      <c r="A48" s="717"/>
      <c r="B48" s="205"/>
      <c r="C48" s="712"/>
      <c r="D48" s="712"/>
      <c r="E48" s="712"/>
      <c r="F48" s="715"/>
      <c r="G48" s="716"/>
      <c r="H48" s="683"/>
      <c r="I48" s="1870"/>
      <c r="J48" s="590"/>
      <c r="K48" s="860" t="s">
        <v>1043</v>
      </c>
      <c r="L48" s="785" t="s">
        <v>464</v>
      </c>
      <c r="M48" s="1824">
        <v>4440</v>
      </c>
    </row>
    <row r="49" spans="1:13" ht="18" customHeight="1">
      <c r="A49" s="717"/>
      <c r="B49" s="205"/>
      <c r="C49" s="712"/>
      <c r="D49" s="712"/>
      <c r="E49" s="712"/>
      <c r="F49" s="715"/>
      <c r="G49" s="716"/>
      <c r="H49" s="683"/>
      <c r="I49" s="1870"/>
      <c r="J49" s="590"/>
      <c r="K49" s="822" t="s">
        <v>1044</v>
      </c>
      <c r="L49" s="783"/>
      <c r="M49" s="1824">
        <f>SUM(M50:M51)</f>
        <v>42480</v>
      </c>
    </row>
    <row r="50" spans="1:13" ht="18" customHeight="1">
      <c r="A50" s="717"/>
      <c r="B50" s="205"/>
      <c r="C50" s="712"/>
      <c r="D50" s="712"/>
      <c r="E50" s="712"/>
      <c r="F50" s="715"/>
      <c r="G50" s="716"/>
      <c r="H50" s="683"/>
      <c r="I50" s="1870"/>
      <c r="J50" s="590"/>
      <c r="K50" s="860" t="s">
        <v>1045</v>
      </c>
      <c r="L50" s="783" t="s">
        <v>464</v>
      </c>
      <c r="M50" s="666">
        <v>21600</v>
      </c>
    </row>
    <row r="51" spans="1:13" ht="18" customHeight="1">
      <c r="A51" s="717"/>
      <c r="B51" s="205"/>
      <c r="C51" s="712"/>
      <c r="D51" s="712"/>
      <c r="E51" s="712"/>
      <c r="F51" s="715"/>
      <c r="G51" s="716"/>
      <c r="H51" s="683"/>
      <c r="I51" s="1870"/>
      <c r="J51" s="590"/>
      <c r="K51" s="822" t="s">
        <v>1046</v>
      </c>
      <c r="L51" s="783" t="s">
        <v>464</v>
      </c>
      <c r="M51" s="666">
        <v>20880</v>
      </c>
    </row>
    <row r="52" spans="1:13" ht="18" customHeight="1">
      <c r="A52" s="717"/>
      <c r="B52" s="205"/>
      <c r="C52" s="712"/>
      <c r="D52" s="712"/>
      <c r="E52" s="712"/>
      <c r="F52" s="715"/>
      <c r="G52" s="716"/>
      <c r="H52" s="683"/>
      <c r="I52" s="1870"/>
      <c r="J52" s="590"/>
      <c r="K52" s="822" t="s">
        <v>1047</v>
      </c>
      <c r="L52" s="783" t="s">
        <v>464</v>
      </c>
      <c r="M52" s="1824">
        <v>1000</v>
      </c>
    </row>
    <row r="53" spans="1:13" ht="18" customHeight="1">
      <c r="A53" s="717"/>
      <c r="B53" s="205"/>
      <c r="C53" s="712"/>
      <c r="D53" s="712"/>
      <c r="E53" s="712"/>
      <c r="F53" s="715"/>
      <c r="G53" s="716"/>
      <c r="H53" s="683"/>
      <c r="I53" s="1870"/>
      <c r="J53" s="590"/>
      <c r="K53" s="822" t="s">
        <v>1048</v>
      </c>
      <c r="L53" s="783"/>
      <c r="M53" s="1824">
        <f>M54</f>
        <v>4000</v>
      </c>
    </row>
    <row r="54" spans="1:13" ht="18" customHeight="1">
      <c r="A54" s="717"/>
      <c r="B54" s="205"/>
      <c r="C54" s="712"/>
      <c r="D54" s="712"/>
      <c r="E54" s="712"/>
      <c r="F54" s="715"/>
      <c r="G54" s="716"/>
      <c r="H54" s="683"/>
      <c r="I54" s="1870"/>
      <c r="J54" s="590"/>
      <c r="K54" s="822" t="s">
        <v>1049</v>
      </c>
      <c r="L54" s="783" t="s">
        <v>464</v>
      </c>
      <c r="M54" s="666">
        <v>4000</v>
      </c>
    </row>
    <row r="55" spans="1:13" ht="18" customHeight="1">
      <c r="A55" s="717"/>
      <c r="B55" s="205"/>
      <c r="C55" s="712"/>
      <c r="D55" s="712"/>
      <c r="E55" s="712"/>
      <c r="F55" s="715"/>
      <c r="G55" s="716"/>
      <c r="H55" s="683"/>
      <c r="I55" s="1870"/>
      <c r="J55" s="590"/>
      <c r="K55" s="861" t="s">
        <v>1050</v>
      </c>
      <c r="L55" s="783" t="s">
        <v>464</v>
      </c>
      <c r="M55" s="1824">
        <v>115688</v>
      </c>
    </row>
    <row r="56" spans="1:13" ht="18" customHeight="1">
      <c r="A56" s="717"/>
      <c r="B56" s="205"/>
      <c r="C56" s="712"/>
      <c r="D56" s="712"/>
      <c r="E56" s="712"/>
      <c r="F56" s="715"/>
      <c r="G56" s="716"/>
      <c r="H56" s="683"/>
      <c r="I56" s="1870"/>
      <c r="J56" s="590"/>
      <c r="K56" s="2165" t="s">
        <v>1051</v>
      </c>
      <c r="L56" s="785" t="s">
        <v>464</v>
      </c>
      <c r="M56" s="1824">
        <v>18000</v>
      </c>
    </row>
    <row r="57" spans="1:13" ht="18" customHeight="1">
      <c r="A57" s="717"/>
      <c r="B57" s="205"/>
      <c r="C57" s="712"/>
      <c r="D57" s="712"/>
      <c r="E57" s="712"/>
      <c r="F57" s="715"/>
      <c r="G57" s="716"/>
      <c r="H57" s="683"/>
      <c r="I57" s="1870"/>
      <c r="J57" s="590"/>
      <c r="K57" s="822" t="s">
        <v>1052</v>
      </c>
      <c r="L57" s="785" t="s">
        <v>464</v>
      </c>
      <c r="M57" s="1824">
        <v>48000</v>
      </c>
    </row>
    <row r="58" spans="1:13" ht="18" customHeight="1">
      <c r="A58" s="717"/>
      <c r="B58" s="205"/>
      <c r="C58" s="712"/>
      <c r="D58" s="712"/>
      <c r="E58" s="712"/>
      <c r="F58" s="715"/>
      <c r="G58" s="716"/>
      <c r="H58" s="683"/>
      <c r="I58" s="1870"/>
      <c r="J58" s="590"/>
      <c r="K58" s="861" t="s">
        <v>1053</v>
      </c>
      <c r="L58" s="787" t="s">
        <v>464</v>
      </c>
      <c r="M58" s="1824">
        <v>1080</v>
      </c>
    </row>
    <row r="59" spans="1:13" ht="18" customHeight="1">
      <c r="A59" s="717"/>
      <c r="B59" s="205"/>
      <c r="C59" s="712"/>
      <c r="D59" s="712"/>
      <c r="E59" s="712"/>
      <c r="F59" s="715"/>
      <c r="G59" s="716"/>
      <c r="H59" s="683"/>
      <c r="I59" s="1870"/>
      <c r="J59" s="590"/>
      <c r="K59" s="861" t="s">
        <v>1054</v>
      </c>
      <c r="L59" s="787" t="s">
        <v>464</v>
      </c>
      <c r="M59" s="1824">
        <v>2880</v>
      </c>
    </row>
    <row r="60" spans="1:13" ht="18" customHeight="1">
      <c r="A60" s="717"/>
      <c r="B60" s="205"/>
      <c r="C60" s="712"/>
      <c r="D60" s="712"/>
      <c r="E60" s="712"/>
      <c r="F60" s="715"/>
      <c r="G60" s="716"/>
      <c r="H60" s="683"/>
      <c r="I60" s="1870"/>
      <c r="J60" s="590"/>
      <c r="K60" s="860" t="s">
        <v>1055</v>
      </c>
      <c r="L60" s="787" t="s">
        <v>464</v>
      </c>
      <c r="M60" s="1824">
        <v>2400</v>
      </c>
    </row>
    <row r="61" spans="1:13" ht="18" customHeight="1">
      <c r="A61" s="717"/>
      <c r="B61" s="205"/>
      <c r="C61" s="712"/>
      <c r="D61" s="712"/>
      <c r="E61" s="712"/>
      <c r="F61" s="715"/>
      <c r="G61" s="716"/>
      <c r="H61" s="683"/>
      <c r="I61" s="1870"/>
      <c r="J61" s="590"/>
      <c r="K61" s="2166" t="s">
        <v>1056</v>
      </c>
      <c r="L61" s="787" t="s">
        <v>464</v>
      </c>
      <c r="M61" s="1824">
        <v>600</v>
      </c>
    </row>
    <row r="62" spans="1:13" ht="18" customHeight="1">
      <c r="A62" s="717"/>
      <c r="B62" s="205"/>
      <c r="C62" s="712"/>
      <c r="D62" s="712"/>
      <c r="E62" s="712"/>
      <c r="F62" s="715"/>
      <c r="G62" s="716"/>
      <c r="H62" s="683"/>
      <c r="I62" s="1870"/>
      <c r="J62" s="590"/>
      <c r="K62" s="2167" t="s">
        <v>1057</v>
      </c>
      <c r="L62" s="787" t="s">
        <v>464</v>
      </c>
      <c r="M62" s="1824">
        <v>800</v>
      </c>
    </row>
    <row r="63" spans="1:13" ht="18" customHeight="1">
      <c r="A63" s="717"/>
      <c r="B63" s="205"/>
      <c r="C63" s="712"/>
      <c r="D63" s="712"/>
      <c r="E63" s="712"/>
      <c r="F63" s="715"/>
      <c r="G63" s="716"/>
      <c r="H63" s="1871"/>
      <c r="I63" s="1872"/>
      <c r="J63" s="595"/>
      <c r="K63" s="942" t="s">
        <v>1058</v>
      </c>
      <c r="L63" s="789" t="s">
        <v>464</v>
      </c>
      <c r="M63" s="1852">
        <v>57000</v>
      </c>
    </row>
    <row r="64" spans="1:13" ht="18" customHeight="1">
      <c r="A64" s="717"/>
      <c r="B64" s="205"/>
      <c r="C64" s="712"/>
      <c r="D64" s="712"/>
      <c r="E64" s="712"/>
      <c r="F64" s="715"/>
      <c r="G64" s="709" t="s">
        <v>991</v>
      </c>
      <c r="H64" s="683">
        <f>M64</f>
        <v>51264</v>
      </c>
      <c r="I64" s="1870">
        <v>52204</v>
      </c>
      <c r="J64" s="590">
        <f>H64-I64</f>
        <v>-940</v>
      </c>
      <c r="K64" s="931" t="s">
        <v>991</v>
      </c>
      <c r="L64" s="783"/>
      <c r="M64" s="1824">
        <f>M65+M69+M73+M76+M77+M78</f>
        <v>51264</v>
      </c>
    </row>
    <row r="65" spans="1:13" ht="18" customHeight="1">
      <c r="A65" s="717"/>
      <c r="B65" s="205"/>
      <c r="C65" s="712"/>
      <c r="D65" s="712"/>
      <c r="E65" s="712"/>
      <c r="F65" s="715"/>
      <c r="G65" s="718"/>
      <c r="H65" s="683"/>
      <c r="I65" s="1870"/>
      <c r="J65" s="590"/>
      <c r="K65" s="822" t="s">
        <v>1059</v>
      </c>
      <c r="L65" s="787"/>
      <c r="M65" s="1824">
        <f>SUM(M66:M68)</f>
        <v>36000</v>
      </c>
    </row>
    <row r="66" spans="1:13" ht="18" customHeight="1">
      <c r="A66" s="717"/>
      <c r="B66" s="205"/>
      <c r="C66" s="712"/>
      <c r="D66" s="712"/>
      <c r="E66" s="712"/>
      <c r="F66" s="716"/>
      <c r="G66" s="718"/>
      <c r="H66" s="683"/>
      <c r="I66" s="1870"/>
      <c r="J66" s="590"/>
      <c r="K66" s="822" t="s">
        <v>1060</v>
      </c>
      <c r="L66" s="788" t="s">
        <v>242</v>
      </c>
      <c r="M66" s="666">
        <v>12000</v>
      </c>
    </row>
    <row r="67" spans="1:13" ht="18" customHeight="1">
      <c r="A67" s="717"/>
      <c r="B67" s="205"/>
      <c r="C67" s="712"/>
      <c r="D67" s="712"/>
      <c r="E67" s="712"/>
      <c r="F67" s="716"/>
      <c r="G67" s="716"/>
      <c r="H67" s="683"/>
      <c r="I67" s="1870"/>
      <c r="J67" s="590"/>
      <c r="K67" s="822" t="s">
        <v>1061</v>
      </c>
      <c r="L67" s="788" t="s">
        <v>464</v>
      </c>
      <c r="M67" s="666">
        <v>12000</v>
      </c>
    </row>
    <row r="68" spans="1:13" ht="18" customHeight="1">
      <c r="A68" s="717"/>
      <c r="B68" s="205"/>
      <c r="C68" s="712"/>
      <c r="D68" s="712"/>
      <c r="E68" s="712"/>
      <c r="F68" s="716"/>
      <c r="G68" s="716"/>
      <c r="H68" s="683"/>
      <c r="I68" s="1870"/>
      <c r="J68" s="590"/>
      <c r="K68" s="822" t="s">
        <v>1062</v>
      </c>
      <c r="L68" s="788" t="s">
        <v>242</v>
      </c>
      <c r="M68" s="666">
        <v>12000</v>
      </c>
    </row>
    <row r="69" spans="1:13" ht="18" customHeight="1">
      <c r="A69" s="717"/>
      <c r="B69" s="205"/>
      <c r="C69" s="712"/>
      <c r="D69" s="712"/>
      <c r="E69" s="712"/>
      <c r="F69" s="715"/>
      <c r="G69" s="716"/>
      <c r="H69" s="683"/>
      <c r="I69" s="1870"/>
      <c r="J69" s="590"/>
      <c r="K69" s="822" t="s">
        <v>1063</v>
      </c>
      <c r="L69" s="788"/>
      <c r="M69" s="1824">
        <f>SUM(M70:M72)</f>
        <v>6120</v>
      </c>
    </row>
    <row r="70" spans="1:13" ht="18" customHeight="1">
      <c r="A70" s="717"/>
      <c r="B70" s="205"/>
      <c r="C70" s="712"/>
      <c r="D70" s="712"/>
      <c r="E70" s="712"/>
      <c r="F70" s="715"/>
      <c r="G70" s="716"/>
      <c r="H70" s="683"/>
      <c r="I70" s="1870"/>
      <c r="J70" s="590"/>
      <c r="K70" s="822" t="s">
        <v>1064</v>
      </c>
      <c r="L70" s="788" t="s">
        <v>242</v>
      </c>
      <c r="M70" s="666">
        <v>2400</v>
      </c>
    </row>
    <row r="71" spans="1:13" ht="18" customHeight="1">
      <c r="A71" s="717"/>
      <c r="B71" s="205"/>
      <c r="C71" s="712"/>
      <c r="D71" s="712"/>
      <c r="E71" s="712"/>
      <c r="F71" s="715"/>
      <c r="G71" s="716"/>
      <c r="H71" s="683"/>
      <c r="I71" s="1870"/>
      <c r="J71" s="590"/>
      <c r="K71" s="822" t="s">
        <v>1065</v>
      </c>
      <c r="L71" s="788" t="s">
        <v>242</v>
      </c>
      <c r="M71" s="666">
        <v>720</v>
      </c>
    </row>
    <row r="72" spans="1:13" ht="18" customHeight="1">
      <c r="A72" s="717"/>
      <c r="B72" s="205"/>
      <c r="C72" s="712"/>
      <c r="D72" s="712"/>
      <c r="E72" s="712"/>
      <c r="F72" s="715"/>
      <c r="G72" s="716"/>
      <c r="H72" s="683"/>
      <c r="I72" s="1870"/>
      <c r="J72" s="590"/>
      <c r="K72" s="822" t="s">
        <v>1066</v>
      </c>
      <c r="L72" s="788" t="s">
        <v>242</v>
      </c>
      <c r="M72" s="666">
        <v>3000</v>
      </c>
    </row>
    <row r="73" spans="1:13" ht="18" customHeight="1">
      <c r="A73" s="717"/>
      <c r="B73" s="205"/>
      <c r="C73" s="712"/>
      <c r="D73" s="712"/>
      <c r="E73" s="712"/>
      <c r="F73" s="715"/>
      <c r="G73" s="716"/>
      <c r="H73" s="683"/>
      <c r="I73" s="1870"/>
      <c r="J73" s="590"/>
      <c r="K73" s="822" t="s">
        <v>1067</v>
      </c>
      <c r="L73" s="788"/>
      <c r="M73" s="1824">
        <f>SUM(M74:M75)</f>
        <v>2244</v>
      </c>
    </row>
    <row r="74" spans="1:13" ht="18" customHeight="1">
      <c r="A74" s="717"/>
      <c r="B74" s="205"/>
      <c r="C74" s="712"/>
      <c r="D74" s="712"/>
      <c r="E74" s="712"/>
      <c r="F74" s="715"/>
      <c r="G74" s="716"/>
      <c r="H74" s="683"/>
      <c r="I74" s="1873"/>
      <c r="J74" s="590"/>
      <c r="K74" s="859" t="s">
        <v>1068</v>
      </c>
      <c r="L74" s="788" t="s">
        <v>242</v>
      </c>
      <c r="M74" s="666">
        <v>2160</v>
      </c>
    </row>
    <row r="75" spans="1:13" ht="18" customHeight="1">
      <c r="A75" s="717"/>
      <c r="B75" s="205"/>
      <c r="C75" s="712"/>
      <c r="D75" s="712"/>
      <c r="E75" s="712"/>
      <c r="F75" s="715"/>
      <c r="G75" s="716"/>
      <c r="H75" s="683"/>
      <c r="I75" s="1870"/>
      <c r="J75" s="590"/>
      <c r="K75" s="822" t="s">
        <v>1069</v>
      </c>
      <c r="L75" s="788" t="s">
        <v>242</v>
      </c>
      <c r="M75" s="666">
        <v>84</v>
      </c>
    </row>
    <row r="76" spans="1:13" ht="18" customHeight="1">
      <c r="A76" s="717"/>
      <c r="B76" s="205"/>
      <c r="C76" s="712"/>
      <c r="D76" s="712"/>
      <c r="E76" s="712"/>
      <c r="F76" s="715"/>
      <c r="G76" s="716"/>
      <c r="H76" s="683"/>
      <c r="I76" s="1870"/>
      <c r="J76" s="590"/>
      <c r="K76" s="822" t="s">
        <v>1070</v>
      </c>
      <c r="L76" s="787" t="s">
        <v>242</v>
      </c>
      <c r="M76" s="1824">
        <v>3240</v>
      </c>
    </row>
    <row r="77" spans="1:13" ht="18" customHeight="1">
      <c r="A77" s="717"/>
      <c r="B77" s="205"/>
      <c r="C77" s="712"/>
      <c r="D77" s="712"/>
      <c r="E77" s="712"/>
      <c r="F77" s="715"/>
      <c r="G77" s="716"/>
      <c r="H77" s="683"/>
      <c r="I77" s="1870"/>
      <c r="J77" s="590"/>
      <c r="K77" s="822" t="s">
        <v>1071</v>
      </c>
      <c r="L77" s="787" t="s">
        <v>242</v>
      </c>
      <c r="M77" s="1824">
        <v>2160</v>
      </c>
    </row>
    <row r="78" spans="1:13" ht="18" customHeight="1">
      <c r="A78" s="717"/>
      <c r="B78" s="205"/>
      <c r="C78" s="712"/>
      <c r="D78" s="712"/>
      <c r="E78" s="712"/>
      <c r="F78" s="715"/>
      <c r="G78" s="716"/>
      <c r="H78" s="1871"/>
      <c r="I78" s="1872"/>
      <c r="J78" s="595"/>
      <c r="K78" s="941" t="s">
        <v>1072</v>
      </c>
      <c r="L78" s="789" t="s">
        <v>242</v>
      </c>
      <c r="M78" s="1852">
        <v>1500</v>
      </c>
    </row>
    <row r="79" spans="1:13" ht="18" customHeight="1">
      <c r="A79" s="717"/>
      <c r="B79" s="205"/>
      <c r="C79" s="712"/>
      <c r="D79" s="712"/>
      <c r="E79" s="712"/>
      <c r="F79" s="716"/>
      <c r="G79" s="719" t="s">
        <v>992</v>
      </c>
      <c r="H79" s="683">
        <f>M79</f>
        <v>39500</v>
      </c>
      <c r="I79" s="1870">
        <v>39500</v>
      </c>
      <c r="J79" s="590">
        <f>H79-I79</f>
        <v>0</v>
      </c>
      <c r="K79" s="932" t="s">
        <v>992</v>
      </c>
      <c r="L79" s="783"/>
      <c r="M79" s="1824">
        <f>M80+M83+M84</f>
        <v>39500</v>
      </c>
    </row>
    <row r="80" spans="1:13" ht="18" customHeight="1">
      <c r="A80" s="717"/>
      <c r="B80" s="205"/>
      <c r="C80" s="712"/>
      <c r="D80" s="712"/>
      <c r="E80" s="712"/>
      <c r="F80" s="715"/>
      <c r="G80" s="716"/>
      <c r="H80" s="683"/>
      <c r="I80" s="1870"/>
      <c r="J80" s="590"/>
      <c r="K80" s="822" t="s">
        <v>1073</v>
      </c>
      <c r="L80" s="785"/>
      <c r="M80" s="1824">
        <f>SUM(M81:M82)</f>
        <v>33000</v>
      </c>
    </row>
    <row r="81" spans="1:13" ht="18" customHeight="1">
      <c r="A81" s="717"/>
      <c r="B81" s="205"/>
      <c r="C81" s="712"/>
      <c r="D81" s="712"/>
      <c r="E81" s="712"/>
      <c r="F81" s="715"/>
      <c r="G81" s="716"/>
      <c r="H81" s="683"/>
      <c r="I81" s="1870"/>
      <c r="J81" s="590"/>
      <c r="K81" s="822" t="s">
        <v>1074</v>
      </c>
      <c r="L81" s="783" t="s">
        <v>242</v>
      </c>
      <c r="M81" s="666">
        <v>16500</v>
      </c>
    </row>
    <row r="82" spans="1:13" ht="18" customHeight="1">
      <c r="A82" s="717"/>
      <c r="B82" s="205"/>
      <c r="C82" s="712"/>
      <c r="D82" s="712"/>
      <c r="E82" s="712"/>
      <c r="F82" s="715"/>
      <c r="G82" s="716"/>
      <c r="H82" s="683"/>
      <c r="I82" s="1870"/>
      <c r="J82" s="590"/>
      <c r="K82" s="822" t="s">
        <v>1075</v>
      </c>
      <c r="L82" s="783" t="s">
        <v>242</v>
      </c>
      <c r="M82" s="666">
        <v>16500</v>
      </c>
    </row>
    <row r="83" spans="1:13" ht="18" customHeight="1">
      <c r="A83" s="717"/>
      <c r="B83" s="205"/>
      <c r="C83" s="712"/>
      <c r="D83" s="712"/>
      <c r="E83" s="712"/>
      <c r="F83" s="715"/>
      <c r="G83" s="716"/>
      <c r="H83" s="683"/>
      <c r="I83" s="1870"/>
      <c r="J83" s="590"/>
      <c r="K83" s="822" t="s">
        <v>1076</v>
      </c>
      <c r="L83" s="785" t="s">
        <v>242</v>
      </c>
      <c r="M83" s="1824">
        <v>1100</v>
      </c>
    </row>
    <row r="84" spans="1:13" ht="18" customHeight="1">
      <c r="A84" s="717"/>
      <c r="B84" s="205"/>
      <c r="C84" s="712"/>
      <c r="D84" s="712"/>
      <c r="E84" s="712"/>
      <c r="F84" s="715"/>
      <c r="G84" s="716"/>
      <c r="H84" s="1871"/>
      <c r="I84" s="1872"/>
      <c r="J84" s="595"/>
      <c r="K84" s="873" t="s">
        <v>1077</v>
      </c>
      <c r="L84" s="922" t="s">
        <v>242</v>
      </c>
      <c r="M84" s="1852">
        <v>5400</v>
      </c>
    </row>
    <row r="85" spans="1:13" ht="18" customHeight="1">
      <c r="A85" s="717"/>
      <c r="B85" s="205"/>
      <c r="C85" s="712"/>
      <c r="D85" s="712"/>
      <c r="E85" s="712"/>
      <c r="F85" s="715"/>
      <c r="G85" s="709" t="s">
        <v>411</v>
      </c>
      <c r="H85" s="683">
        <f>M85</f>
        <v>385320</v>
      </c>
      <c r="I85" s="1870">
        <v>397200</v>
      </c>
      <c r="J85" s="590">
        <f>H85-I85</f>
        <v>-11880</v>
      </c>
      <c r="K85" s="931" t="s">
        <v>411</v>
      </c>
      <c r="L85" s="783"/>
      <c r="M85" s="1824">
        <f>M86+M87+M88+M89+M90+M91</f>
        <v>385320</v>
      </c>
    </row>
    <row r="86" spans="1:13" ht="18" customHeight="1">
      <c r="A86" s="717"/>
      <c r="B86" s="205"/>
      <c r="C86" s="712"/>
      <c r="D86" s="712"/>
      <c r="E86" s="712"/>
      <c r="F86" s="715"/>
      <c r="G86" s="716"/>
      <c r="H86" s="683"/>
      <c r="I86" s="1870"/>
      <c r="J86" s="590"/>
      <c r="K86" s="822" t="s">
        <v>1078</v>
      </c>
      <c r="L86" s="785" t="s">
        <v>464</v>
      </c>
      <c r="M86" s="666">
        <v>259200</v>
      </c>
    </row>
    <row r="87" spans="1:13" ht="18" customHeight="1">
      <c r="A87" s="717"/>
      <c r="B87" s="205"/>
      <c r="C87" s="712"/>
      <c r="D87" s="712"/>
      <c r="E87" s="712"/>
      <c r="F87" s="715"/>
      <c r="G87" s="716"/>
      <c r="H87" s="683"/>
      <c r="I87" s="1870"/>
      <c r="J87" s="590"/>
      <c r="K87" s="822" t="s">
        <v>1079</v>
      </c>
      <c r="L87" s="785" t="s">
        <v>464</v>
      </c>
      <c r="M87" s="666">
        <v>75600</v>
      </c>
    </row>
    <row r="88" spans="1:13" ht="18" customHeight="1">
      <c r="A88" s="717"/>
      <c r="B88" s="205"/>
      <c r="C88" s="712"/>
      <c r="D88" s="712"/>
      <c r="E88" s="712"/>
      <c r="F88" s="715"/>
      <c r="G88" s="716"/>
      <c r="H88" s="683"/>
      <c r="I88" s="1870"/>
      <c r="J88" s="590"/>
      <c r="K88" s="822" t="s">
        <v>1080</v>
      </c>
      <c r="L88" s="785" t="s">
        <v>242</v>
      </c>
      <c r="M88" s="666">
        <v>1200</v>
      </c>
    </row>
    <row r="89" spans="1:13" ht="18" customHeight="1">
      <c r="A89" s="717"/>
      <c r="B89" s="205"/>
      <c r="C89" s="712"/>
      <c r="D89" s="712"/>
      <c r="E89" s="712"/>
      <c r="F89" s="715"/>
      <c r="G89" s="716"/>
      <c r="H89" s="683"/>
      <c r="I89" s="1870"/>
      <c r="J89" s="590"/>
      <c r="K89" s="822" t="s">
        <v>1081</v>
      </c>
      <c r="L89" s="785" t="s">
        <v>464</v>
      </c>
      <c r="M89" s="666">
        <v>36000</v>
      </c>
    </row>
    <row r="90" spans="1:13" ht="18" customHeight="1">
      <c r="A90" s="717"/>
      <c r="B90" s="205"/>
      <c r="C90" s="712"/>
      <c r="D90" s="712"/>
      <c r="E90" s="712"/>
      <c r="F90" s="715"/>
      <c r="G90" s="716"/>
      <c r="H90" s="683"/>
      <c r="I90" s="1870"/>
      <c r="J90" s="590"/>
      <c r="K90" s="822" t="s">
        <v>1082</v>
      </c>
      <c r="L90" s="785" t="s">
        <v>464</v>
      </c>
      <c r="M90" s="666">
        <v>12000</v>
      </c>
    </row>
    <row r="91" spans="1:13" ht="18" customHeight="1">
      <c r="A91" s="717"/>
      <c r="B91" s="205"/>
      <c r="C91" s="712"/>
      <c r="D91" s="712"/>
      <c r="E91" s="712"/>
      <c r="F91" s="715"/>
      <c r="G91" s="716"/>
      <c r="H91" s="1871"/>
      <c r="I91" s="1872"/>
      <c r="J91" s="595"/>
      <c r="K91" s="940" t="s">
        <v>1083</v>
      </c>
      <c r="L91" s="922" t="s">
        <v>464</v>
      </c>
      <c r="M91" s="1078">
        <v>1320</v>
      </c>
    </row>
    <row r="92" spans="1:13" ht="18" customHeight="1">
      <c r="A92" s="717"/>
      <c r="B92" s="205"/>
      <c r="C92" s="712"/>
      <c r="D92" s="712"/>
      <c r="E92" s="712"/>
      <c r="F92" s="715"/>
      <c r="G92" s="709" t="s">
        <v>993</v>
      </c>
      <c r="H92" s="683">
        <f>M92</f>
        <v>3600</v>
      </c>
      <c r="I92" s="1870">
        <v>3600</v>
      </c>
      <c r="J92" s="590">
        <f>H92-I92</f>
        <v>0</v>
      </c>
      <c r="K92" s="931" t="s">
        <v>993</v>
      </c>
      <c r="L92" s="783"/>
      <c r="M92" s="1824">
        <f>M93</f>
        <v>3600</v>
      </c>
    </row>
    <row r="93" spans="1:13" ht="18" customHeight="1">
      <c r="A93" s="717"/>
      <c r="B93" s="205"/>
      <c r="C93" s="712"/>
      <c r="D93" s="712"/>
      <c r="E93" s="712"/>
      <c r="F93" s="715"/>
      <c r="G93" s="718"/>
      <c r="H93" s="1871"/>
      <c r="I93" s="1872"/>
      <c r="J93" s="595"/>
      <c r="K93" s="873" t="s">
        <v>1084</v>
      </c>
      <c r="L93" s="930" t="s">
        <v>242</v>
      </c>
      <c r="M93" s="1078">
        <v>3600</v>
      </c>
    </row>
    <row r="94" spans="1:13" ht="18" customHeight="1">
      <c r="A94" s="717"/>
      <c r="B94" s="205"/>
      <c r="C94" s="712"/>
      <c r="D94" s="712"/>
      <c r="E94" s="712"/>
      <c r="F94" s="2393" t="s">
        <v>994</v>
      </c>
      <c r="G94" s="2394"/>
      <c r="H94" s="1871">
        <f>H95</f>
        <v>14100</v>
      </c>
      <c r="I94" s="1872">
        <v>16400</v>
      </c>
      <c r="J94" s="595">
        <f>H94-I94</f>
        <v>-2300</v>
      </c>
      <c r="K94" s="864"/>
      <c r="L94" s="938"/>
      <c r="M94" s="1078"/>
    </row>
    <row r="95" spans="1:13" ht="18" customHeight="1">
      <c r="A95" s="717"/>
      <c r="B95" s="205"/>
      <c r="C95" s="712"/>
      <c r="D95" s="712"/>
      <c r="E95" s="712"/>
      <c r="F95" s="715"/>
      <c r="G95" s="709" t="s">
        <v>995</v>
      </c>
      <c r="H95" s="683">
        <f>M95</f>
        <v>14100</v>
      </c>
      <c r="I95" s="1870">
        <v>16400</v>
      </c>
      <c r="J95" s="590">
        <f>H95-I95</f>
        <v>-2300</v>
      </c>
      <c r="K95" s="939" t="s">
        <v>995</v>
      </c>
      <c r="L95" s="936"/>
      <c r="M95" s="1824">
        <f>M96+M97</f>
        <v>14100</v>
      </c>
    </row>
    <row r="96" spans="1:13" ht="18" customHeight="1">
      <c r="A96" s="717"/>
      <c r="B96" s="205"/>
      <c r="C96" s="712"/>
      <c r="D96" s="712"/>
      <c r="E96" s="712"/>
      <c r="F96" s="715"/>
      <c r="G96" s="716"/>
      <c r="H96" s="683"/>
      <c r="I96" s="1870"/>
      <c r="J96" s="590"/>
      <c r="K96" s="863" t="s">
        <v>1085</v>
      </c>
      <c r="L96" s="790" t="s">
        <v>464</v>
      </c>
      <c r="M96" s="666">
        <v>10800</v>
      </c>
    </row>
    <row r="97" spans="1:14" ht="18" customHeight="1">
      <c r="A97" s="717"/>
      <c r="B97" s="205"/>
      <c r="C97" s="712"/>
      <c r="D97" s="712"/>
      <c r="E97" s="712"/>
      <c r="F97" s="720"/>
      <c r="G97" s="721"/>
      <c r="H97" s="1871"/>
      <c r="I97" s="1872"/>
      <c r="J97" s="595"/>
      <c r="K97" s="864" t="s">
        <v>1086</v>
      </c>
      <c r="L97" s="791" t="s">
        <v>464</v>
      </c>
      <c r="M97" s="1078">
        <v>3300</v>
      </c>
    </row>
    <row r="98" spans="1:14" ht="18" customHeight="1">
      <c r="A98" s="717"/>
      <c r="B98" s="205"/>
      <c r="C98" s="712"/>
      <c r="D98" s="712"/>
      <c r="E98" s="712"/>
      <c r="F98" s="2385" t="s">
        <v>996</v>
      </c>
      <c r="G98" s="2386"/>
      <c r="H98" s="1871">
        <f>H99</f>
        <v>0</v>
      </c>
      <c r="I98" s="1872">
        <v>0</v>
      </c>
      <c r="J98" s="595">
        <f>H98-I98</f>
        <v>0</v>
      </c>
      <c r="K98" s="937"/>
      <c r="L98" s="938"/>
      <c r="M98" s="1078"/>
    </row>
    <row r="99" spans="1:14" ht="18" customHeight="1">
      <c r="A99" s="717"/>
      <c r="B99" s="205"/>
      <c r="C99" s="712"/>
      <c r="D99" s="712"/>
      <c r="E99" s="712"/>
      <c r="F99" s="714"/>
      <c r="G99" s="709" t="s">
        <v>436</v>
      </c>
      <c r="H99" s="683">
        <f>M99</f>
        <v>0</v>
      </c>
      <c r="I99" s="1870">
        <v>0</v>
      </c>
      <c r="J99" s="590">
        <f>H99-I99</f>
        <v>0</v>
      </c>
      <c r="K99" s="856"/>
      <c r="L99" s="936"/>
      <c r="M99" s="666">
        <v>0</v>
      </c>
    </row>
    <row r="100" spans="1:14" ht="18" customHeight="1">
      <c r="A100" s="717"/>
      <c r="B100" s="205"/>
      <c r="C100" s="712"/>
      <c r="D100" s="712"/>
      <c r="E100" s="712"/>
      <c r="F100" s="2400" t="s">
        <v>997</v>
      </c>
      <c r="G100" s="2394"/>
      <c r="H100" s="1859">
        <f>H101</f>
        <v>6300</v>
      </c>
      <c r="I100" s="1874">
        <v>6300</v>
      </c>
      <c r="J100" s="597">
        <f>H100-I100</f>
        <v>0</v>
      </c>
      <c r="K100" s="865"/>
      <c r="L100" s="792"/>
      <c r="M100" s="668"/>
      <c r="N100" s="25"/>
    </row>
    <row r="101" spans="1:14" ht="18" customHeight="1">
      <c r="A101" s="717"/>
      <c r="B101" s="205"/>
      <c r="C101" s="712"/>
      <c r="D101" s="712"/>
      <c r="E101" s="712"/>
      <c r="F101" s="722"/>
      <c r="G101" s="709" t="s">
        <v>998</v>
      </c>
      <c r="H101" s="683">
        <f>M101</f>
        <v>6300</v>
      </c>
      <c r="I101" s="1870">
        <v>6300</v>
      </c>
      <c r="J101" s="590">
        <f>H101-I101</f>
        <v>0</v>
      </c>
      <c r="K101" s="927" t="s">
        <v>1087</v>
      </c>
      <c r="L101" s="794"/>
      <c r="M101" s="1824">
        <f>M102</f>
        <v>6300</v>
      </c>
    </row>
    <row r="102" spans="1:14" ht="18" customHeight="1">
      <c r="A102" s="717"/>
      <c r="B102" s="205"/>
      <c r="C102" s="712"/>
      <c r="D102" s="712"/>
      <c r="E102" s="712"/>
      <c r="F102" s="723"/>
      <c r="G102" s="209"/>
      <c r="H102" s="683"/>
      <c r="I102" s="1870"/>
      <c r="J102" s="590"/>
      <c r="K102" s="867" t="s">
        <v>1088</v>
      </c>
      <c r="L102" s="794"/>
      <c r="M102" s="666">
        <f>SUM(M103:M104)</f>
        <v>6300</v>
      </c>
    </row>
    <row r="103" spans="1:14" ht="18" customHeight="1">
      <c r="A103" s="717"/>
      <c r="B103" s="205"/>
      <c r="C103" s="712"/>
      <c r="D103" s="712"/>
      <c r="E103" s="712"/>
      <c r="F103" s="723"/>
      <c r="G103" s="710"/>
      <c r="H103" s="683"/>
      <c r="I103" s="1870"/>
      <c r="J103" s="590"/>
      <c r="K103" s="867" t="s">
        <v>1089</v>
      </c>
      <c r="L103" s="794" t="s">
        <v>464</v>
      </c>
      <c r="M103" s="666">
        <v>4800</v>
      </c>
    </row>
    <row r="104" spans="1:14" ht="18" customHeight="1">
      <c r="A104" s="717"/>
      <c r="B104" s="205"/>
      <c r="C104" s="712"/>
      <c r="D104" s="712"/>
      <c r="E104" s="712"/>
      <c r="F104" s="724"/>
      <c r="G104" s="725"/>
      <c r="H104" s="683"/>
      <c r="I104" s="1872"/>
      <c r="J104" s="595"/>
      <c r="K104" s="868" t="s">
        <v>1090</v>
      </c>
      <c r="L104" s="795" t="s">
        <v>464</v>
      </c>
      <c r="M104" s="666">
        <v>1500</v>
      </c>
    </row>
    <row r="105" spans="1:14" ht="18" customHeight="1">
      <c r="A105" s="340"/>
      <c r="B105" s="344"/>
      <c r="C105" s="347"/>
      <c r="D105" s="347"/>
      <c r="E105" s="349" t="s">
        <v>999</v>
      </c>
      <c r="F105" s="342"/>
      <c r="G105" s="343"/>
      <c r="H105" s="1875">
        <f>H106</f>
        <v>7000</v>
      </c>
      <c r="I105" s="1857">
        <v>7000</v>
      </c>
      <c r="J105" s="607">
        <f>H105-I105</f>
        <v>0</v>
      </c>
      <c r="K105" s="427"/>
      <c r="L105" s="428"/>
      <c r="M105" s="668"/>
    </row>
    <row r="106" spans="1:14" ht="18" customHeight="1">
      <c r="A106" s="717"/>
      <c r="B106" s="205"/>
      <c r="C106" s="712"/>
      <c r="D106" s="712"/>
      <c r="E106" s="712"/>
      <c r="F106" s="2393" t="s">
        <v>1000</v>
      </c>
      <c r="G106" s="2394"/>
      <c r="H106" s="1868">
        <f>H107</f>
        <v>7000</v>
      </c>
      <c r="I106" s="1874">
        <v>7000</v>
      </c>
      <c r="J106" s="597">
        <f>H106-I106</f>
        <v>0</v>
      </c>
      <c r="K106" s="869"/>
      <c r="L106" s="796"/>
      <c r="M106" s="1078"/>
    </row>
    <row r="107" spans="1:14" ht="18" customHeight="1">
      <c r="A107" s="717"/>
      <c r="B107" s="205"/>
      <c r="C107" s="712"/>
      <c r="D107" s="712"/>
      <c r="E107" s="712"/>
      <c r="F107" s="723"/>
      <c r="G107" s="709" t="s">
        <v>1001</v>
      </c>
      <c r="H107" s="1876">
        <f>M107</f>
        <v>7000</v>
      </c>
      <c r="I107" s="1877">
        <v>7000</v>
      </c>
      <c r="J107" s="590">
        <f>H107-I107</f>
        <v>0</v>
      </c>
      <c r="K107" s="870" t="s">
        <v>1091</v>
      </c>
      <c r="L107" s="793"/>
      <c r="M107" s="1824">
        <f>M108</f>
        <v>7000</v>
      </c>
    </row>
    <row r="108" spans="1:14" ht="18" customHeight="1">
      <c r="A108" s="717"/>
      <c r="B108" s="205"/>
      <c r="C108" s="712"/>
      <c r="D108" s="712"/>
      <c r="E108" s="712"/>
      <c r="F108" s="723"/>
      <c r="G108" s="710"/>
      <c r="H108" s="683"/>
      <c r="I108" s="1870"/>
      <c r="J108" s="590"/>
      <c r="K108" s="871" t="s">
        <v>1092</v>
      </c>
      <c r="L108" s="794" t="s">
        <v>464</v>
      </c>
      <c r="M108" s="666">
        <v>7000</v>
      </c>
    </row>
    <row r="109" spans="1:14" ht="18" customHeight="1">
      <c r="A109" s="340"/>
      <c r="B109" s="344"/>
      <c r="C109" s="344"/>
      <c r="D109" s="317" t="s">
        <v>293</v>
      </c>
      <c r="E109" s="342"/>
      <c r="F109" s="342"/>
      <c r="G109" s="343"/>
      <c r="H109" s="1856">
        <f>H110</f>
        <v>162000</v>
      </c>
      <c r="I109" s="1858">
        <v>180859</v>
      </c>
      <c r="J109" s="601">
        <f>H109-I109</f>
        <v>-18859</v>
      </c>
      <c r="K109" s="797"/>
      <c r="L109" s="541"/>
      <c r="M109" s="668"/>
    </row>
    <row r="110" spans="1:14" ht="18" customHeight="1">
      <c r="A110" s="340"/>
      <c r="B110" s="344"/>
      <c r="C110" s="347"/>
      <c r="D110" s="348"/>
      <c r="E110" s="726" t="s">
        <v>987</v>
      </c>
      <c r="F110" s="411"/>
      <c r="G110" s="343"/>
      <c r="H110" s="684">
        <f>H111</f>
        <v>162000</v>
      </c>
      <c r="I110" s="1878">
        <v>180859</v>
      </c>
      <c r="J110" s="607">
        <f t="shared" ref="J110:J112" si="2">H110-I110</f>
        <v>-18859</v>
      </c>
      <c r="K110" s="427"/>
      <c r="L110" s="428"/>
      <c r="M110" s="666"/>
    </row>
    <row r="111" spans="1:14" ht="18" customHeight="1">
      <c r="A111" s="717"/>
      <c r="B111" s="205"/>
      <c r="C111" s="712"/>
      <c r="D111" s="712"/>
      <c r="E111" s="727"/>
      <c r="F111" s="2400" t="s">
        <v>1002</v>
      </c>
      <c r="G111" s="2399"/>
      <c r="H111" s="1859">
        <f>H112</f>
        <v>162000</v>
      </c>
      <c r="I111" s="1874">
        <v>180859</v>
      </c>
      <c r="J111" s="597">
        <f t="shared" si="2"/>
        <v>-18859</v>
      </c>
      <c r="K111" s="865"/>
      <c r="L111" s="792"/>
      <c r="M111" s="1534"/>
    </row>
    <row r="112" spans="1:14" ht="18" customHeight="1">
      <c r="A112" s="717"/>
      <c r="B112" s="205"/>
      <c r="C112" s="712"/>
      <c r="D112" s="712"/>
      <c r="E112" s="712"/>
      <c r="F112" s="722"/>
      <c r="G112" s="709" t="s">
        <v>418</v>
      </c>
      <c r="H112" s="683">
        <f>M112</f>
        <v>162000</v>
      </c>
      <c r="I112" s="1870">
        <v>180859</v>
      </c>
      <c r="J112" s="590">
        <f t="shared" si="2"/>
        <v>-18859</v>
      </c>
      <c r="K112" s="866" t="s">
        <v>418</v>
      </c>
      <c r="L112" s="798"/>
      <c r="M112" s="1827">
        <f>M113</f>
        <v>162000</v>
      </c>
    </row>
    <row r="113" spans="1:13" ht="18" customHeight="1">
      <c r="A113" s="717"/>
      <c r="B113" s="205"/>
      <c r="C113" s="712"/>
      <c r="D113" s="712"/>
      <c r="E113" s="712"/>
      <c r="F113" s="713"/>
      <c r="G113" s="710"/>
      <c r="H113" s="1871"/>
      <c r="I113" s="1872"/>
      <c r="J113" s="595"/>
      <c r="K113" s="868" t="s">
        <v>1093</v>
      </c>
      <c r="L113" s="795" t="s">
        <v>464</v>
      </c>
      <c r="M113" s="1078">
        <v>162000</v>
      </c>
    </row>
    <row r="114" spans="1:13" ht="18" customHeight="1">
      <c r="A114" s="340"/>
      <c r="B114" s="344"/>
      <c r="C114" s="317" t="s">
        <v>296</v>
      </c>
      <c r="D114" s="342"/>
      <c r="E114" s="342"/>
      <c r="F114" s="342"/>
      <c r="G114" s="343"/>
      <c r="H114" s="1879">
        <f>H115+H145</f>
        <v>165485</v>
      </c>
      <c r="I114" s="1880">
        <v>168033</v>
      </c>
      <c r="J114" s="667">
        <f>H114-I114</f>
        <v>-2548</v>
      </c>
      <c r="K114" s="423"/>
      <c r="L114" s="424"/>
      <c r="M114" s="1078"/>
    </row>
    <row r="115" spans="1:13" ht="18" customHeight="1">
      <c r="A115" s="340"/>
      <c r="B115" s="344"/>
      <c r="C115" s="346"/>
      <c r="D115" s="388" t="s">
        <v>297</v>
      </c>
      <c r="E115" s="342"/>
      <c r="F115" s="342"/>
      <c r="G115" s="343"/>
      <c r="H115" s="1879">
        <f>H116+H124+H141</f>
        <v>156340</v>
      </c>
      <c r="I115" s="1881">
        <v>158033</v>
      </c>
      <c r="J115" s="667">
        <f t="shared" ref="J115:J118" si="3">H115-I115</f>
        <v>-1693</v>
      </c>
      <c r="K115" s="539"/>
      <c r="L115" s="424"/>
      <c r="M115" s="1078"/>
    </row>
    <row r="116" spans="1:13" ht="18" customHeight="1">
      <c r="A116" s="340"/>
      <c r="B116" s="344"/>
      <c r="C116" s="347"/>
      <c r="D116" s="348"/>
      <c r="E116" s="341" t="s">
        <v>984</v>
      </c>
      <c r="F116" s="342"/>
      <c r="G116" s="343"/>
      <c r="H116" s="1879">
        <f>H117</f>
        <v>140820</v>
      </c>
      <c r="I116" s="1880">
        <v>142285</v>
      </c>
      <c r="J116" s="667">
        <f t="shared" si="3"/>
        <v>-1465</v>
      </c>
      <c r="K116" s="535"/>
      <c r="L116" s="853"/>
      <c r="M116" s="1078"/>
    </row>
    <row r="117" spans="1:13" ht="18" customHeight="1">
      <c r="A117" s="840"/>
      <c r="B117" s="710"/>
      <c r="C117" s="710"/>
      <c r="D117" s="710"/>
      <c r="E117" s="728"/>
      <c r="F117" s="2393" t="s">
        <v>985</v>
      </c>
      <c r="G117" s="2394"/>
      <c r="H117" s="1871">
        <f>H118</f>
        <v>140820</v>
      </c>
      <c r="I117" s="1882">
        <v>142285</v>
      </c>
      <c r="J117" s="595">
        <f t="shared" si="3"/>
        <v>-1465</v>
      </c>
      <c r="K117" s="935"/>
      <c r="L117" s="826"/>
      <c r="M117" s="1078"/>
    </row>
    <row r="118" spans="1:13" ht="18" customHeight="1">
      <c r="A118" s="840"/>
      <c r="B118" s="712"/>
      <c r="C118" s="712"/>
      <c r="D118" s="712"/>
      <c r="E118" s="712"/>
      <c r="F118" s="729"/>
      <c r="G118" s="730" t="s">
        <v>986</v>
      </c>
      <c r="H118" s="683">
        <f>M118</f>
        <v>140820</v>
      </c>
      <c r="I118" s="1883">
        <v>142285</v>
      </c>
      <c r="J118" s="590">
        <f t="shared" si="3"/>
        <v>-1465</v>
      </c>
      <c r="K118" s="856" t="s">
        <v>1003</v>
      </c>
      <c r="L118" s="780"/>
      <c r="M118" s="1824">
        <f>M119</f>
        <v>140820</v>
      </c>
    </row>
    <row r="119" spans="1:13" ht="18" customHeight="1">
      <c r="A119" s="840"/>
      <c r="B119" s="712"/>
      <c r="C119" s="712"/>
      <c r="D119" s="712"/>
      <c r="E119" s="712"/>
      <c r="F119" s="729"/>
      <c r="G119" s="710"/>
      <c r="H119" s="683"/>
      <c r="I119" s="1883"/>
      <c r="J119" s="590"/>
      <c r="K119" s="857" t="s">
        <v>1094</v>
      </c>
      <c r="L119" s="780"/>
      <c r="M119" s="666">
        <f>SUM(M120:M123)</f>
        <v>140820</v>
      </c>
    </row>
    <row r="120" spans="1:13" ht="18" customHeight="1">
      <c r="A120" s="840"/>
      <c r="B120" s="712"/>
      <c r="C120" s="712"/>
      <c r="D120" s="708"/>
      <c r="E120" s="708"/>
      <c r="F120" s="708"/>
      <c r="G120" s="731"/>
      <c r="H120" s="683"/>
      <c r="I120" s="1883"/>
      <c r="J120" s="590"/>
      <c r="K120" s="857" t="s">
        <v>1095</v>
      </c>
      <c r="L120" s="780" t="s">
        <v>242</v>
      </c>
      <c r="M120" s="666">
        <v>95846</v>
      </c>
    </row>
    <row r="121" spans="1:13" ht="18" customHeight="1">
      <c r="A121" s="840"/>
      <c r="B121" s="712"/>
      <c r="C121" s="712"/>
      <c r="D121" s="712"/>
      <c r="E121" s="712"/>
      <c r="F121" s="729"/>
      <c r="G121" s="732"/>
      <c r="H121" s="683"/>
      <c r="I121" s="1883"/>
      <c r="J121" s="590"/>
      <c r="K121" s="857" t="s">
        <v>1096</v>
      </c>
      <c r="L121" s="780" t="s">
        <v>242</v>
      </c>
      <c r="M121" s="666">
        <v>19169</v>
      </c>
    </row>
    <row r="122" spans="1:13" ht="18" customHeight="1">
      <c r="A122" s="840"/>
      <c r="B122" s="712"/>
      <c r="C122" s="712"/>
      <c r="D122" s="712"/>
      <c r="E122" s="712"/>
      <c r="F122" s="729"/>
      <c r="G122" s="731"/>
      <c r="H122" s="683"/>
      <c r="I122" s="1883"/>
      <c r="J122" s="590"/>
      <c r="K122" s="857" t="s">
        <v>1097</v>
      </c>
      <c r="L122" s="780" t="s">
        <v>242</v>
      </c>
      <c r="M122" s="666">
        <v>22118</v>
      </c>
    </row>
    <row r="123" spans="1:13" ht="18" customHeight="1">
      <c r="A123" s="840"/>
      <c r="B123" s="712"/>
      <c r="C123" s="712"/>
      <c r="D123" s="708"/>
      <c r="E123" s="708"/>
      <c r="F123" s="708"/>
      <c r="G123" s="733"/>
      <c r="H123" s="1871"/>
      <c r="I123" s="1882"/>
      <c r="J123" s="595"/>
      <c r="K123" s="885" t="s">
        <v>1098</v>
      </c>
      <c r="L123" s="934" t="s">
        <v>242</v>
      </c>
      <c r="M123" s="1078">
        <v>3687</v>
      </c>
    </row>
    <row r="124" spans="1:13" ht="18" customHeight="1">
      <c r="A124" s="340"/>
      <c r="B124" s="344"/>
      <c r="C124" s="347"/>
      <c r="D124" s="347"/>
      <c r="E124" s="349" t="s">
        <v>987</v>
      </c>
      <c r="F124" s="342"/>
      <c r="G124" s="343"/>
      <c r="H124" s="1879">
        <f>H125+H137</f>
        <v>14520</v>
      </c>
      <c r="I124" s="1880">
        <v>14748</v>
      </c>
      <c r="J124" s="667">
        <f>H124-I124</f>
        <v>-228</v>
      </c>
      <c r="K124" s="535"/>
      <c r="L124" s="853"/>
      <c r="M124" s="1078"/>
    </row>
    <row r="125" spans="1:13" ht="18" customHeight="1">
      <c r="A125" s="840"/>
      <c r="B125" s="712"/>
      <c r="C125" s="712"/>
      <c r="D125" s="708"/>
      <c r="E125" s="708"/>
      <c r="F125" s="2393" t="s">
        <v>988</v>
      </c>
      <c r="G125" s="2394"/>
      <c r="H125" s="1871">
        <f>H126+H128+H130+H134</f>
        <v>13320</v>
      </c>
      <c r="I125" s="1884">
        <v>13548</v>
      </c>
      <c r="J125" s="595">
        <f t="shared" ref="J125:J126" si="4">H125-I125</f>
        <v>-228</v>
      </c>
      <c r="K125" s="858"/>
      <c r="L125" s="781"/>
      <c r="M125" s="1078"/>
    </row>
    <row r="126" spans="1:13" ht="18" customHeight="1">
      <c r="A126" s="840"/>
      <c r="B126" s="712"/>
      <c r="C126" s="712"/>
      <c r="D126" s="712"/>
      <c r="E126" s="712"/>
      <c r="F126" s="734"/>
      <c r="G126" s="709" t="s">
        <v>989</v>
      </c>
      <c r="H126" s="683">
        <f>M126</f>
        <v>2160</v>
      </c>
      <c r="I126" s="1885">
        <v>2388</v>
      </c>
      <c r="J126" s="590">
        <f t="shared" si="4"/>
        <v>-228</v>
      </c>
      <c r="K126" s="932" t="s">
        <v>989</v>
      </c>
      <c r="L126" s="783"/>
      <c r="M126" s="1824">
        <f>M127</f>
        <v>2160</v>
      </c>
    </row>
    <row r="127" spans="1:13" ht="18" customHeight="1">
      <c r="A127" s="840"/>
      <c r="B127" s="712"/>
      <c r="C127" s="712"/>
      <c r="D127" s="712"/>
      <c r="E127" s="712"/>
      <c r="F127" s="710"/>
      <c r="G127" s="725"/>
      <c r="H127" s="1871"/>
      <c r="I127" s="1884"/>
      <c r="J127" s="595"/>
      <c r="K127" s="933" t="s">
        <v>1099</v>
      </c>
      <c r="L127" s="930" t="s">
        <v>464</v>
      </c>
      <c r="M127" s="1078">
        <v>2160</v>
      </c>
    </row>
    <row r="128" spans="1:13" ht="18" customHeight="1">
      <c r="A128" s="841"/>
      <c r="B128" s="735"/>
      <c r="C128" s="712"/>
      <c r="D128" s="712"/>
      <c r="E128" s="712"/>
      <c r="F128" s="731"/>
      <c r="G128" s="709" t="s">
        <v>990</v>
      </c>
      <c r="H128" s="683">
        <f>M128</f>
        <v>360</v>
      </c>
      <c r="I128" s="1885">
        <v>360</v>
      </c>
      <c r="J128" s="590">
        <f>H128-I128</f>
        <v>0</v>
      </c>
      <c r="K128" s="931" t="s">
        <v>990</v>
      </c>
      <c r="L128" s="783"/>
      <c r="M128" s="1824">
        <f>M129</f>
        <v>360</v>
      </c>
    </row>
    <row r="129" spans="1:13" ht="18" customHeight="1">
      <c r="A129" s="841"/>
      <c r="B129" s="735"/>
      <c r="C129" s="712"/>
      <c r="D129" s="712"/>
      <c r="E129" s="712"/>
      <c r="F129" s="710"/>
      <c r="G129" s="725"/>
      <c r="H129" s="1871"/>
      <c r="I129" s="1884"/>
      <c r="J129" s="595"/>
      <c r="K129" s="873" t="s">
        <v>1100</v>
      </c>
      <c r="L129" s="800" t="s">
        <v>464</v>
      </c>
      <c r="M129" s="1078">
        <v>360</v>
      </c>
    </row>
    <row r="130" spans="1:13" ht="18" customHeight="1">
      <c r="A130" s="842"/>
      <c r="B130" s="712"/>
      <c r="C130" s="712"/>
      <c r="D130" s="712"/>
      <c r="E130" s="712"/>
      <c r="F130" s="710"/>
      <c r="G130" s="709" t="s">
        <v>992</v>
      </c>
      <c r="H130" s="683">
        <f>M130</f>
        <v>2400</v>
      </c>
      <c r="I130" s="1885">
        <v>2400</v>
      </c>
      <c r="J130" s="590">
        <f>H130-I130</f>
        <v>0</v>
      </c>
      <c r="K130" s="932" t="s">
        <v>992</v>
      </c>
      <c r="L130" s="783"/>
      <c r="M130" s="1824">
        <f>M131</f>
        <v>2400</v>
      </c>
    </row>
    <row r="131" spans="1:13" ht="18" customHeight="1">
      <c r="A131" s="840"/>
      <c r="B131" s="712"/>
      <c r="C131" s="712"/>
      <c r="D131" s="712"/>
      <c r="E131" s="712"/>
      <c r="F131" s="710"/>
      <c r="G131" s="209"/>
      <c r="H131" s="683"/>
      <c r="I131" s="1885"/>
      <c r="J131" s="590"/>
      <c r="K131" s="822" t="s">
        <v>1073</v>
      </c>
      <c r="L131" s="783"/>
      <c r="M131" s="666">
        <f>M132+M133</f>
        <v>2400</v>
      </c>
    </row>
    <row r="132" spans="1:13" ht="18" customHeight="1">
      <c r="A132" s="840"/>
      <c r="B132" s="712"/>
      <c r="C132" s="712"/>
      <c r="D132" s="712"/>
      <c r="E132" s="712"/>
      <c r="F132" s="710"/>
      <c r="G132" s="209"/>
      <c r="H132" s="683"/>
      <c r="I132" s="1885"/>
      <c r="J132" s="590"/>
      <c r="K132" s="822" t="s">
        <v>1101</v>
      </c>
      <c r="L132" s="785" t="s">
        <v>242</v>
      </c>
      <c r="M132" s="666">
        <v>1200</v>
      </c>
    </row>
    <row r="133" spans="1:13" ht="18" customHeight="1">
      <c r="A133" s="840"/>
      <c r="B133" s="735"/>
      <c r="C133" s="712"/>
      <c r="D133" s="712"/>
      <c r="E133" s="712"/>
      <c r="F133" s="731"/>
      <c r="G133" s="710"/>
      <c r="H133" s="1871"/>
      <c r="I133" s="1884"/>
      <c r="J133" s="595"/>
      <c r="K133" s="873" t="s">
        <v>1102</v>
      </c>
      <c r="L133" s="922" t="s">
        <v>242</v>
      </c>
      <c r="M133" s="1078">
        <v>1200</v>
      </c>
    </row>
    <row r="134" spans="1:13" ht="18" customHeight="1">
      <c r="A134" s="841"/>
      <c r="B134" s="712"/>
      <c r="C134" s="712"/>
      <c r="D134" s="712"/>
      <c r="E134" s="712"/>
      <c r="F134" s="710"/>
      <c r="G134" s="709" t="s">
        <v>411</v>
      </c>
      <c r="H134" s="683">
        <f>M134</f>
        <v>8400</v>
      </c>
      <c r="I134" s="1885">
        <v>8400</v>
      </c>
      <c r="J134" s="590">
        <f>H134-I134</f>
        <v>0</v>
      </c>
      <c r="K134" s="931" t="s">
        <v>411</v>
      </c>
      <c r="L134" s="783"/>
      <c r="M134" s="1824">
        <f>M135+M136</f>
        <v>8400</v>
      </c>
    </row>
    <row r="135" spans="1:13" ht="18" customHeight="1">
      <c r="A135" s="841"/>
      <c r="B135" s="729"/>
      <c r="C135" s="712"/>
      <c r="D135" s="712"/>
      <c r="E135" s="712"/>
      <c r="F135" s="736"/>
      <c r="G135" s="737"/>
      <c r="H135" s="683"/>
      <c r="I135" s="1885"/>
      <c r="J135" s="590"/>
      <c r="K135" s="860" t="s">
        <v>1103</v>
      </c>
      <c r="L135" s="783" t="s">
        <v>464</v>
      </c>
      <c r="M135" s="666">
        <v>7200</v>
      </c>
    </row>
    <row r="136" spans="1:13" ht="18" customHeight="1">
      <c r="A136" s="843"/>
      <c r="B136" s="729"/>
      <c r="C136" s="712"/>
      <c r="D136" s="712"/>
      <c r="E136" s="712"/>
      <c r="F136" s="736"/>
      <c r="G136" s="738"/>
      <c r="H136" s="1871"/>
      <c r="I136" s="1884"/>
      <c r="J136" s="595"/>
      <c r="K136" s="873" t="s">
        <v>1104</v>
      </c>
      <c r="L136" s="930" t="s">
        <v>464</v>
      </c>
      <c r="M136" s="1078">
        <v>1200</v>
      </c>
    </row>
    <row r="137" spans="1:13" ht="18" customHeight="1">
      <c r="A137" s="841"/>
      <c r="B137" s="729"/>
      <c r="C137" s="712"/>
      <c r="D137" s="708"/>
      <c r="E137" s="708"/>
      <c r="F137" s="2393" t="s">
        <v>997</v>
      </c>
      <c r="G137" s="2394"/>
      <c r="H137" s="1871">
        <f>H138</f>
        <v>1200</v>
      </c>
      <c r="I137" s="1884">
        <v>1200</v>
      </c>
      <c r="J137" s="595">
        <f>H137-I137</f>
        <v>0</v>
      </c>
      <c r="K137" s="874"/>
      <c r="L137" s="802"/>
      <c r="M137" s="1078"/>
    </row>
    <row r="138" spans="1:13" ht="18" customHeight="1">
      <c r="A138" s="841"/>
      <c r="B138" s="729"/>
      <c r="C138" s="712"/>
      <c r="D138" s="712"/>
      <c r="E138" s="712"/>
      <c r="F138" s="727"/>
      <c r="G138" s="709" t="s">
        <v>998</v>
      </c>
      <c r="H138" s="683">
        <f>M138</f>
        <v>1200</v>
      </c>
      <c r="I138" s="1885">
        <v>1200</v>
      </c>
      <c r="J138" s="590">
        <f>H138-I138</f>
        <v>0</v>
      </c>
      <c r="K138" s="927" t="s">
        <v>1087</v>
      </c>
      <c r="L138" s="801"/>
      <c r="M138" s="1824">
        <f>M139</f>
        <v>1200</v>
      </c>
    </row>
    <row r="139" spans="1:13" ht="18" customHeight="1">
      <c r="A139" s="841"/>
      <c r="B139" s="712"/>
      <c r="C139" s="712"/>
      <c r="D139" s="712"/>
      <c r="E139" s="712"/>
      <c r="F139" s="712"/>
      <c r="G139" s="209"/>
      <c r="H139" s="683"/>
      <c r="I139" s="1885"/>
      <c r="J139" s="590"/>
      <c r="K139" s="867" t="s">
        <v>1105</v>
      </c>
      <c r="L139" s="801"/>
      <c r="M139" s="666">
        <f>M140</f>
        <v>1200</v>
      </c>
    </row>
    <row r="140" spans="1:13" ht="18" customHeight="1">
      <c r="A140" s="841"/>
      <c r="B140" s="712"/>
      <c r="C140" s="712"/>
      <c r="D140" s="712"/>
      <c r="E140" s="712"/>
      <c r="F140" s="712"/>
      <c r="G140" s="710"/>
      <c r="H140" s="1871"/>
      <c r="I140" s="1884"/>
      <c r="J140" s="595"/>
      <c r="K140" s="868" t="s">
        <v>1106</v>
      </c>
      <c r="L140" s="802" t="s">
        <v>464</v>
      </c>
      <c r="M140" s="1078">
        <v>1200</v>
      </c>
    </row>
    <row r="141" spans="1:13" ht="18" customHeight="1">
      <c r="A141" s="340"/>
      <c r="B141" s="344"/>
      <c r="C141" s="347"/>
      <c r="D141" s="347"/>
      <c r="E141" s="349" t="s">
        <v>999</v>
      </c>
      <c r="F141" s="342"/>
      <c r="G141" s="343"/>
      <c r="H141" s="1879">
        <f>H142</f>
        <v>1000</v>
      </c>
      <c r="I141" s="1880">
        <v>1000</v>
      </c>
      <c r="J141" s="667">
        <f>H141-I141</f>
        <v>0</v>
      </c>
      <c r="K141" s="535"/>
      <c r="L141" s="853"/>
      <c r="M141" s="1078"/>
    </row>
    <row r="142" spans="1:13" ht="18" customHeight="1">
      <c r="A142" s="842"/>
      <c r="B142" s="739"/>
      <c r="C142" s="712"/>
      <c r="D142" s="708"/>
      <c r="E142" s="708"/>
      <c r="F142" s="2393" t="s">
        <v>1000</v>
      </c>
      <c r="G142" s="2394"/>
      <c r="H142" s="1871">
        <f>H143</f>
        <v>1000</v>
      </c>
      <c r="I142" s="1884">
        <v>1000</v>
      </c>
      <c r="J142" s="595">
        <f t="shared" ref="J142:J143" si="5">H142-I142</f>
        <v>0</v>
      </c>
      <c r="K142" s="929"/>
      <c r="L142" s="802"/>
      <c r="M142" s="1078"/>
    </row>
    <row r="143" spans="1:13" ht="18" customHeight="1">
      <c r="A143" s="841"/>
      <c r="B143" s="735"/>
      <c r="C143" s="712"/>
      <c r="D143" s="712"/>
      <c r="E143" s="712"/>
      <c r="F143" s="727"/>
      <c r="G143" s="709" t="s">
        <v>1001</v>
      </c>
      <c r="H143" s="683">
        <f>M143</f>
        <v>1000</v>
      </c>
      <c r="I143" s="1885">
        <v>1000</v>
      </c>
      <c r="J143" s="590">
        <f t="shared" si="5"/>
        <v>0</v>
      </c>
      <c r="K143" s="928" t="s">
        <v>1091</v>
      </c>
      <c r="L143" s="801"/>
      <c r="M143" s="1824">
        <f>M144</f>
        <v>1000</v>
      </c>
    </row>
    <row r="144" spans="1:13" ht="18" customHeight="1">
      <c r="A144" s="840"/>
      <c r="B144" s="712"/>
      <c r="C144" s="712"/>
      <c r="D144" s="712"/>
      <c r="E144" s="712"/>
      <c r="F144" s="712"/>
      <c r="G144" s="725"/>
      <c r="H144" s="683"/>
      <c r="I144" s="1885"/>
      <c r="J144" s="590"/>
      <c r="K144" s="871" t="s">
        <v>1107</v>
      </c>
      <c r="L144" s="801" t="s">
        <v>464</v>
      </c>
      <c r="M144" s="666">
        <v>1000</v>
      </c>
    </row>
    <row r="145" spans="1:13" ht="18" customHeight="1">
      <c r="A145" s="340"/>
      <c r="B145" s="344"/>
      <c r="C145" s="344"/>
      <c r="D145" s="317" t="s">
        <v>298</v>
      </c>
      <c r="E145" s="342"/>
      <c r="F145" s="342"/>
      <c r="G145" s="343"/>
      <c r="H145" s="1856">
        <f>H146</f>
        <v>9145</v>
      </c>
      <c r="I145" s="1858">
        <v>10000</v>
      </c>
      <c r="J145" s="601">
        <f>H145-I145</f>
        <v>-855</v>
      </c>
      <c r="K145" s="494"/>
      <c r="L145" s="541"/>
      <c r="M145" s="668"/>
    </row>
    <row r="146" spans="1:13" ht="18" customHeight="1">
      <c r="A146" s="340"/>
      <c r="B146" s="344"/>
      <c r="C146" s="347"/>
      <c r="D146" s="348"/>
      <c r="E146" s="341" t="s">
        <v>987</v>
      </c>
      <c r="F146" s="342"/>
      <c r="G146" s="343"/>
      <c r="H146" s="1879">
        <f>H147</f>
        <v>9145</v>
      </c>
      <c r="I146" s="1880">
        <v>10000</v>
      </c>
      <c r="J146" s="667">
        <f t="shared" ref="J146:J148" si="6">H146-I146</f>
        <v>-855</v>
      </c>
      <c r="K146" s="535"/>
      <c r="L146" s="853"/>
      <c r="M146" s="1078"/>
    </row>
    <row r="147" spans="1:13" ht="18" customHeight="1">
      <c r="A147" s="841"/>
      <c r="B147" s="735"/>
      <c r="C147" s="712"/>
      <c r="D147" s="708"/>
      <c r="E147" s="708"/>
      <c r="F147" s="2393" t="s">
        <v>1002</v>
      </c>
      <c r="G147" s="2399"/>
      <c r="H147" s="1871">
        <f>H148</f>
        <v>9145</v>
      </c>
      <c r="I147" s="1884">
        <v>10000</v>
      </c>
      <c r="J147" s="595">
        <f t="shared" si="6"/>
        <v>-855</v>
      </c>
      <c r="K147" s="874"/>
      <c r="L147" s="802"/>
      <c r="M147" s="1078"/>
    </row>
    <row r="148" spans="1:13" ht="18" customHeight="1">
      <c r="A148" s="843"/>
      <c r="B148" s="735"/>
      <c r="C148" s="712"/>
      <c r="D148" s="712"/>
      <c r="E148" s="712"/>
      <c r="F148" s="727"/>
      <c r="G148" s="730" t="s">
        <v>418</v>
      </c>
      <c r="H148" s="683">
        <f>M148</f>
        <v>9145</v>
      </c>
      <c r="I148" s="1885">
        <v>10000</v>
      </c>
      <c r="J148" s="590">
        <f t="shared" si="6"/>
        <v>-855</v>
      </c>
      <c r="K148" s="927" t="s">
        <v>418</v>
      </c>
      <c r="L148" s="801"/>
      <c r="M148" s="1824">
        <f>M149</f>
        <v>9145</v>
      </c>
    </row>
    <row r="149" spans="1:13" ht="18" customHeight="1">
      <c r="A149" s="841"/>
      <c r="B149" s="729"/>
      <c r="C149" s="712"/>
      <c r="D149" s="708"/>
      <c r="E149" s="708"/>
      <c r="F149" s="708"/>
      <c r="G149" s="737"/>
      <c r="H149" s="1871"/>
      <c r="I149" s="1884"/>
      <c r="J149" s="595"/>
      <c r="K149" s="868" t="s">
        <v>1108</v>
      </c>
      <c r="L149" s="795" t="s">
        <v>464</v>
      </c>
      <c r="M149" s="1078">
        <v>9145</v>
      </c>
    </row>
    <row r="150" spans="1:13" ht="18" customHeight="1">
      <c r="A150" s="340"/>
      <c r="B150" s="344"/>
      <c r="C150" s="317" t="s">
        <v>299</v>
      </c>
      <c r="D150" s="342"/>
      <c r="E150" s="342"/>
      <c r="F150" s="342"/>
      <c r="G150" s="343"/>
      <c r="H150" s="1879">
        <f>H151+H211</f>
        <v>317719</v>
      </c>
      <c r="I150" s="1880">
        <v>297674</v>
      </c>
      <c r="J150" s="667">
        <f>H150-I150</f>
        <v>20045</v>
      </c>
      <c r="K150" s="423"/>
      <c r="L150" s="424"/>
      <c r="M150" s="1078"/>
    </row>
    <row r="151" spans="1:13" ht="18" customHeight="1">
      <c r="A151" s="340"/>
      <c r="B151" s="344"/>
      <c r="C151" s="346"/>
      <c r="D151" s="317" t="s">
        <v>300</v>
      </c>
      <c r="E151" s="342"/>
      <c r="F151" s="342"/>
      <c r="G151" s="343"/>
      <c r="H151" s="1879">
        <f>H152+H165</f>
        <v>288863</v>
      </c>
      <c r="I151" s="1881">
        <v>273218</v>
      </c>
      <c r="J151" s="667">
        <f t="shared" ref="J151:J154" si="7">H151-I151</f>
        <v>15645</v>
      </c>
      <c r="K151" s="539"/>
      <c r="L151" s="424"/>
      <c r="M151" s="1078"/>
    </row>
    <row r="152" spans="1:13" ht="18" customHeight="1">
      <c r="A152" s="340"/>
      <c r="B152" s="344"/>
      <c r="C152" s="347"/>
      <c r="D152" s="348"/>
      <c r="E152" s="342" t="s">
        <v>984</v>
      </c>
      <c r="F152" s="342"/>
      <c r="G152" s="343"/>
      <c r="H152" s="1879">
        <f>H153</f>
        <v>73591</v>
      </c>
      <c r="I152" s="1880">
        <v>67696</v>
      </c>
      <c r="J152" s="667">
        <f t="shared" si="7"/>
        <v>5895</v>
      </c>
      <c r="K152" s="535"/>
      <c r="L152" s="853"/>
      <c r="M152" s="1078"/>
    </row>
    <row r="153" spans="1:13" ht="18" customHeight="1">
      <c r="A153" s="711"/>
      <c r="B153" s="707"/>
      <c r="C153" s="707"/>
      <c r="D153" s="707"/>
      <c r="E153" s="740"/>
      <c r="F153" s="747" t="s">
        <v>985</v>
      </c>
      <c r="G153" s="741"/>
      <c r="H153" s="1871">
        <f>H154</f>
        <v>73591</v>
      </c>
      <c r="I153" s="1886">
        <v>67696</v>
      </c>
      <c r="J153" s="595">
        <f t="shared" si="7"/>
        <v>5895</v>
      </c>
      <c r="K153" s="916"/>
      <c r="L153" s="914"/>
      <c r="M153" s="1078"/>
    </row>
    <row r="154" spans="1:13" ht="18" customHeight="1">
      <c r="A154" s="711"/>
      <c r="B154" s="707"/>
      <c r="C154" s="707"/>
      <c r="D154" s="742"/>
      <c r="E154" s="742"/>
      <c r="F154" s="707"/>
      <c r="G154" s="743" t="s">
        <v>1003</v>
      </c>
      <c r="H154" s="683">
        <f>M154</f>
        <v>73591</v>
      </c>
      <c r="I154" s="1887">
        <v>67696</v>
      </c>
      <c r="J154" s="590">
        <f t="shared" si="7"/>
        <v>5895</v>
      </c>
      <c r="K154" s="915" t="s">
        <v>1109</v>
      </c>
      <c r="L154" s="805"/>
      <c r="M154" s="1824">
        <f>M155+M160</f>
        <v>73591</v>
      </c>
    </row>
    <row r="155" spans="1:13" ht="18" customHeight="1">
      <c r="A155" s="711"/>
      <c r="B155" s="707"/>
      <c r="C155" s="707"/>
      <c r="D155" s="742"/>
      <c r="E155" s="742"/>
      <c r="F155" s="744"/>
      <c r="G155" s="744"/>
      <c r="H155" s="683"/>
      <c r="I155" s="1887"/>
      <c r="J155" s="590"/>
      <c r="K155" s="875" t="s">
        <v>1110</v>
      </c>
      <c r="L155" s="803"/>
      <c r="M155" s="1824">
        <f>SUM(M156:M159)</f>
        <v>63562</v>
      </c>
    </row>
    <row r="156" spans="1:13" ht="18" customHeight="1">
      <c r="A156" s="711"/>
      <c r="B156" s="707"/>
      <c r="C156" s="707"/>
      <c r="D156" s="742"/>
      <c r="E156" s="742"/>
      <c r="F156" s="707"/>
      <c r="G156" s="707"/>
      <c r="H156" s="683"/>
      <c r="I156" s="1887"/>
      <c r="J156" s="590"/>
      <c r="K156" s="876" t="s">
        <v>1111</v>
      </c>
      <c r="L156" s="804" t="s">
        <v>464</v>
      </c>
      <c r="M156" s="666">
        <v>46551</v>
      </c>
    </row>
    <row r="157" spans="1:13" ht="18" customHeight="1">
      <c r="A157" s="711"/>
      <c r="B157" s="707"/>
      <c r="C157" s="707"/>
      <c r="D157" s="742"/>
      <c r="E157" s="742"/>
      <c r="F157" s="707"/>
      <c r="G157" s="707"/>
      <c r="H157" s="683"/>
      <c r="I157" s="1887"/>
      <c r="J157" s="590"/>
      <c r="K157" s="876" t="s">
        <v>1112</v>
      </c>
      <c r="L157" s="804" t="s">
        <v>464</v>
      </c>
      <c r="M157" s="666">
        <v>9311</v>
      </c>
    </row>
    <row r="158" spans="1:13" ht="18" customHeight="1">
      <c r="A158" s="711"/>
      <c r="B158" s="707"/>
      <c r="C158" s="707"/>
      <c r="D158" s="742"/>
      <c r="E158" s="742"/>
      <c r="F158" s="707"/>
      <c r="G158" s="707"/>
      <c r="H158" s="683"/>
      <c r="I158" s="1887"/>
      <c r="J158" s="590"/>
      <c r="K158" s="876" t="s">
        <v>1113</v>
      </c>
      <c r="L158" s="804" t="s">
        <v>464</v>
      </c>
      <c r="M158" s="666">
        <v>5909</v>
      </c>
    </row>
    <row r="159" spans="1:13" ht="18" customHeight="1">
      <c r="A159" s="711"/>
      <c r="B159" s="707"/>
      <c r="C159" s="707"/>
      <c r="D159" s="742"/>
      <c r="E159" s="742"/>
      <c r="F159" s="707"/>
      <c r="G159" s="707"/>
      <c r="H159" s="683"/>
      <c r="I159" s="1887"/>
      <c r="J159" s="590"/>
      <c r="K159" s="876" t="s">
        <v>1114</v>
      </c>
      <c r="L159" s="804" t="s">
        <v>464</v>
      </c>
      <c r="M159" s="666">
        <v>1791</v>
      </c>
    </row>
    <row r="160" spans="1:13" ht="18" customHeight="1">
      <c r="A160" s="711"/>
      <c r="B160" s="707"/>
      <c r="C160" s="707"/>
      <c r="D160" s="742"/>
      <c r="E160" s="742"/>
      <c r="F160" s="744"/>
      <c r="G160" s="744"/>
      <c r="H160" s="683"/>
      <c r="I160" s="1887"/>
      <c r="J160" s="590"/>
      <c r="K160" s="875" t="s">
        <v>1115</v>
      </c>
      <c r="L160" s="805"/>
      <c r="M160" s="1824">
        <f>SUM(M161:M164)</f>
        <v>10029</v>
      </c>
    </row>
    <row r="161" spans="1:13" ht="18" customHeight="1">
      <c r="A161" s="711"/>
      <c r="B161" s="707"/>
      <c r="C161" s="707"/>
      <c r="D161" s="742"/>
      <c r="E161" s="742"/>
      <c r="F161" s="744"/>
      <c r="G161" s="745"/>
      <c r="H161" s="683"/>
      <c r="I161" s="1887"/>
      <c r="J161" s="590"/>
      <c r="K161" s="877" t="s">
        <v>1116</v>
      </c>
      <c r="L161" s="805" t="s">
        <v>464</v>
      </c>
      <c r="M161" s="666">
        <v>7162</v>
      </c>
    </row>
    <row r="162" spans="1:13" ht="18" customHeight="1">
      <c r="A162" s="711"/>
      <c r="B162" s="707"/>
      <c r="C162" s="707"/>
      <c r="D162" s="742"/>
      <c r="E162" s="742"/>
      <c r="F162" s="744"/>
      <c r="G162" s="745"/>
      <c r="H162" s="683"/>
      <c r="I162" s="1887"/>
      <c r="J162" s="590"/>
      <c r="K162" s="878" t="s">
        <v>1117</v>
      </c>
      <c r="L162" s="805" t="s">
        <v>464</v>
      </c>
      <c r="M162" s="666">
        <v>1433</v>
      </c>
    </row>
    <row r="163" spans="1:13" ht="18" customHeight="1">
      <c r="A163" s="711"/>
      <c r="B163" s="707"/>
      <c r="C163" s="707"/>
      <c r="D163" s="742"/>
      <c r="E163" s="742"/>
      <c r="F163" s="744"/>
      <c r="G163" s="745"/>
      <c r="H163" s="683"/>
      <c r="I163" s="1887"/>
      <c r="J163" s="590"/>
      <c r="K163" s="878" t="s">
        <v>1118</v>
      </c>
      <c r="L163" s="805" t="s">
        <v>464</v>
      </c>
      <c r="M163" s="666">
        <v>1075</v>
      </c>
    </row>
    <row r="164" spans="1:13" ht="18" customHeight="1">
      <c r="A164" s="711"/>
      <c r="B164" s="707"/>
      <c r="C164" s="707"/>
      <c r="D164" s="707"/>
      <c r="E164" s="742"/>
      <c r="F164" s="744"/>
      <c r="G164" s="745"/>
      <c r="H164" s="1871"/>
      <c r="I164" s="1886"/>
      <c r="J164" s="595"/>
      <c r="K164" s="926" t="s">
        <v>1119</v>
      </c>
      <c r="L164" s="817" t="s">
        <v>464</v>
      </c>
      <c r="M164" s="1078">
        <v>359</v>
      </c>
    </row>
    <row r="165" spans="1:13" ht="18" customHeight="1">
      <c r="A165" s="340"/>
      <c r="B165" s="344"/>
      <c r="C165" s="347"/>
      <c r="D165" s="347"/>
      <c r="E165" s="341" t="s">
        <v>987</v>
      </c>
      <c r="F165" s="342"/>
      <c r="G165" s="343"/>
      <c r="H165" s="1879">
        <f>H166+H204+H208</f>
        <v>215272</v>
      </c>
      <c r="I165" s="1880">
        <v>205522</v>
      </c>
      <c r="J165" s="667">
        <f>H165-I165</f>
        <v>9750</v>
      </c>
      <c r="K165" s="535"/>
      <c r="L165" s="853"/>
      <c r="M165" s="1078"/>
    </row>
    <row r="166" spans="1:13" ht="18" customHeight="1">
      <c r="A166" s="711"/>
      <c r="B166" s="707"/>
      <c r="C166" s="707"/>
      <c r="D166" s="746"/>
      <c r="E166" s="746"/>
      <c r="F166" s="747" t="s">
        <v>988</v>
      </c>
      <c r="G166" s="748"/>
      <c r="H166" s="1871">
        <f>H167+H176+H178+H185+H192+H197+H202</f>
        <v>209702</v>
      </c>
      <c r="I166" s="1888">
        <v>199952</v>
      </c>
      <c r="J166" s="595">
        <f t="shared" ref="J166:J167" si="8">H166-I166</f>
        <v>9750</v>
      </c>
      <c r="K166" s="911"/>
      <c r="L166" s="912"/>
      <c r="M166" s="1078"/>
    </row>
    <row r="167" spans="1:13" ht="18" customHeight="1">
      <c r="A167" s="711"/>
      <c r="B167" s="707"/>
      <c r="C167" s="707"/>
      <c r="D167" s="707"/>
      <c r="E167" s="707"/>
      <c r="F167" s="744"/>
      <c r="G167" s="744" t="s">
        <v>989</v>
      </c>
      <c r="H167" s="1876">
        <f>M167</f>
        <v>28512</v>
      </c>
      <c r="I167" s="1889">
        <v>27762</v>
      </c>
      <c r="J167" s="590">
        <f t="shared" si="8"/>
        <v>750</v>
      </c>
      <c r="K167" s="814" t="s">
        <v>989</v>
      </c>
      <c r="L167" s="808"/>
      <c r="M167" s="1824">
        <f>M168+M169+M170+M171+M172+M173+M174+M175</f>
        <v>28512</v>
      </c>
    </row>
    <row r="168" spans="1:13" ht="18" customHeight="1">
      <c r="A168" s="711"/>
      <c r="B168" s="707"/>
      <c r="C168" s="707"/>
      <c r="D168" s="707"/>
      <c r="E168" s="707"/>
      <c r="F168" s="744"/>
      <c r="G168" s="744"/>
      <c r="H168" s="1862"/>
      <c r="I168" s="1889"/>
      <c r="J168" s="590"/>
      <c r="K168" s="806" t="s">
        <v>1120</v>
      </c>
      <c r="L168" s="805" t="s">
        <v>464</v>
      </c>
      <c r="M168" s="666">
        <v>6000</v>
      </c>
    </row>
    <row r="169" spans="1:13" ht="18" customHeight="1">
      <c r="A169" s="711"/>
      <c r="B169" s="707"/>
      <c r="C169" s="707"/>
      <c r="D169" s="707"/>
      <c r="E169" s="707"/>
      <c r="F169" s="744"/>
      <c r="G169" s="744"/>
      <c r="H169" s="1862"/>
      <c r="I169" s="1889"/>
      <c r="J169" s="590"/>
      <c r="K169" s="806" t="s">
        <v>1121</v>
      </c>
      <c r="L169" s="805" t="s">
        <v>464</v>
      </c>
      <c r="M169" s="666">
        <v>3960</v>
      </c>
    </row>
    <row r="170" spans="1:13" ht="18" customHeight="1">
      <c r="A170" s="711"/>
      <c r="B170" s="707"/>
      <c r="C170" s="707"/>
      <c r="D170" s="707"/>
      <c r="E170" s="707"/>
      <c r="F170" s="744"/>
      <c r="G170" s="744"/>
      <c r="H170" s="1862"/>
      <c r="I170" s="1889"/>
      <c r="J170" s="590"/>
      <c r="K170" s="806" t="s">
        <v>1122</v>
      </c>
      <c r="L170" s="805" t="s">
        <v>464</v>
      </c>
      <c r="M170" s="666">
        <v>3000</v>
      </c>
    </row>
    <row r="171" spans="1:13" ht="18" customHeight="1">
      <c r="A171" s="711"/>
      <c r="B171" s="707"/>
      <c r="C171" s="707"/>
      <c r="D171" s="707"/>
      <c r="E171" s="707"/>
      <c r="F171" s="744"/>
      <c r="G171" s="744"/>
      <c r="H171" s="1862"/>
      <c r="I171" s="1889"/>
      <c r="J171" s="590"/>
      <c r="K171" s="806" t="s">
        <v>1123</v>
      </c>
      <c r="L171" s="805" t="s">
        <v>464</v>
      </c>
      <c r="M171" s="666">
        <v>1550</v>
      </c>
    </row>
    <row r="172" spans="1:13" ht="18" customHeight="1">
      <c r="A172" s="711"/>
      <c r="B172" s="707"/>
      <c r="C172" s="707"/>
      <c r="D172" s="707"/>
      <c r="E172" s="707"/>
      <c r="F172" s="744"/>
      <c r="G172" s="744"/>
      <c r="H172" s="1862"/>
      <c r="I172" s="1889"/>
      <c r="J172" s="590"/>
      <c r="K172" s="806" t="s">
        <v>1124</v>
      </c>
      <c r="L172" s="805" t="s">
        <v>464</v>
      </c>
      <c r="M172" s="666">
        <v>1200</v>
      </c>
    </row>
    <row r="173" spans="1:13" ht="18" customHeight="1">
      <c r="A173" s="711"/>
      <c r="B173" s="707"/>
      <c r="C173" s="707"/>
      <c r="D173" s="707"/>
      <c r="E173" s="707"/>
      <c r="F173" s="744"/>
      <c r="G173" s="744"/>
      <c r="H173" s="1862"/>
      <c r="I173" s="1889"/>
      <c r="J173" s="590"/>
      <c r="K173" s="806" t="s">
        <v>1125</v>
      </c>
      <c r="L173" s="805" t="s">
        <v>464</v>
      </c>
      <c r="M173" s="666">
        <v>52</v>
      </c>
    </row>
    <row r="174" spans="1:13" ht="18" customHeight="1">
      <c r="A174" s="711"/>
      <c r="B174" s="707"/>
      <c r="C174" s="707"/>
      <c r="D174" s="707"/>
      <c r="E174" s="707"/>
      <c r="F174" s="744"/>
      <c r="G174" s="744"/>
      <c r="H174" s="1862"/>
      <c r="I174" s="1889"/>
      <c r="J174" s="590"/>
      <c r="K174" s="806" t="s">
        <v>1126</v>
      </c>
      <c r="L174" s="805" t="s">
        <v>464</v>
      </c>
      <c r="M174" s="666">
        <v>750</v>
      </c>
    </row>
    <row r="175" spans="1:13" ht="18" customHeight="1">
      <c r="A175" s="711"/>
      <c r="B175" s="707"/>
      <c r="C175" s="707"/>
      <c r="D175" s="707"/>
      <c r="E175" s="707"/>
      <c r="F175" s="744"/>
      <c r="G175" s="744"/>
      <c r="H175" s="1864"/>
      <c r="I175" s="1890"/>
      <c r="J175" s="595"/>
      <c r="K175" s="908" t="s">
        <v>1127</v>
      </c>
      <c r="L175" s="817" t="s">
        <v>464</v>
      </c>
      <c r="M175" s="1078">
        <v>12000</v>
      </c>
    </row>
    <row r="176" spans="1:13" ht="18" customHeight="1">
      <c r="A176" s="711"/>
      <c r="B176" s="707"/>
      <c r="C176" s="707"/>
      <c r="D176" s="707"/>
      <c r="E176" s="707"/>
      <c r="F176" s="744"/>
      <c r="G176" s="749" t="s">
        <v>1004</v>
      </c>
      <c r="H176" s="683">
        <f>M176</f>
        <v>500</v>
      </c>
      <c r="I176" s="1891">
        <v>500</v>
      </c>
      <c r="J176" s="590">
        <f>H176-I176</f>
        <v>0</v>
      </c>
      <c r="K176" s="882" t="s">
        <v>1004</v>
      </c>
      <c r="L176" s="816"/>
      <c r="M176" s="1824">
        <f>M177</f>
        <v>500</v>
      </c>
    </row>
    <row r="177" spans="1:13" ht="18" customHeight="1">
      <c r="A177" s="711"/>
      <c r="B177" s="707"/>
      <c r="C177" s="707"/>
      <c r="D177" s="707"/>
      <c r="E177" s="707"/>
      <c r="F177" s="744"/>
      <c r="G177" s="750"/>
      <c r="H177" s="1864"/>
      <c r="I177" s="1892"/>
      <c r="J177" s="595"/>
      <c r="K177" s="917" t="s">
        <v>1128</v>
      </c>
      <c r="L177" s="817" t="s">
        <v>242</v>
      </c>
      <c r="M177" s="1078">
        <v>500</v>
      </c>
    </row>
    <row r="178" spans="1:13" ht="18" customHeight="1">
      <c r="A178" s="711"/>
      <c r="B178" s="707"/>
      <c r="C178" s="707"/>
      <c r="D178" s="707"/>
      <c r="E178" s="707"/>
      <c r="F178" s="744"/>
      <c r="G178" s="751" t="s">
        <v>990</v>
      </c>
      <c r="H178" s="1862">
        <f>M178</f>
        <v>28890</v>
      </c>
      <c r="I178" s="1889">
        <v>28290</v>
      </c>
      <c r="J178" s="590">
        <f>H178-I178</f>
        <v>600</v>
      </c>
      <c r="K178" s="925" t="s">
        <v>990</v>
      </c>
      <c r="L178" s="805"/>
      <c r="M178" s="1824">
        <f>M179+M180+M181+M182+M183+M184</f>
        <v>28890</v>
      </c>
    </row>
    <row r="179" spans="1:13" ht="18" customHeight="1">
      <c r="A179" s="711"/>
      <c r="B179" s="707"/>
      <c r="C179" s="707"/>
      <c r="D179" s="707"/>
      <c r="E179" s="707"/>
      <c r="F179" s="744"/>
      <c r="G179" s="744"/>
      <c r="H179" s="1862"/>
      <c r="I179" s="1889"/>
      <c r="J179" s="590"/>
      <c r="K179" s="806" t="s">
        <v>1129</v>
      </c>
      <c r="L179" s="805" t="s">
        <v>464</v>
      </c>
      <c r="M179" s="666">
        <v>7200</v>
      </c>
    </row>
    <row r="180" spans="1:13" ht="18" customHeight="1">
      <c r="A180" s="711"/>
      <c r="B180" s="707"/>
      <c r="C180" s="707"/>
      <c r="D180" s="707"/>
      <c r="E180" s="707"/>
      <c r="F180" s="744"/>
      <c r="G180" s="744"/>
      <c r="H180" s="1862"/>
      <c r="I180" s="1889"/>
      <c r="J180" s="590"/>
      <c r="K180" s="806" t="s">
        <v>1130</v>
      </c>
      <c r="L180" s="805" t="s">
        <v>464</v>
      </c>
      <c r="M180" s="666">
        <v>5400</v>
      </c>
    </row>
    <row r="181" spans="1:13" ht="18" customHeight="1">
      <c r="A181" s="706"/>
      <c r="B181" s="707"/>
      <c r="C181" s="707"/>
      <c r="D181" s="742"/>
      <c r="E181" s="742"/>
      <c r="F181" s="744"/>
      <c r="G181" s="744"/>
      <c r="H181" s="1862"/>
      <c r="I181" s="1889"/>
      <c r="J181" s="590"/>
      <c r="K181" s="806" t="s">
        <v>1131</v>
      </c>
      <c r="L181" s="805" t="s">
        <v>464</v>
      </c>
      <c r="M181" s="666">
        <v>4200</v>
      </c>
    </row>
    <row r="182" spans="1:13" ht="18" customHeight="1">
      <c r="A182" s="706"/>
      <c r="B182" s="707"/>
      <c r="C182" s="707"/>
      <c r="D182" s="742"/>
      <c r="E182" s="742"/>
      <c r="F182" s="744"/>
      <c r="G182" s="744"/>
      <c r="H182" s="1862"/>
      <c r="I182" s="1889"/>
      <c r="J182" s="590"/>
      <c r="K182" s="806" t="s">
        <v>1132</v>
      </c>
      <c r="L182" s="805" t="s">
        <v>464</v>
      </c>
      <c r="M182" s="666">
        <v>3960</v>
      </c>
    </row>
    <row r="183" spans="1:13" ht="18" customHeight="1">
      <c r="A183" s="706"/>
      <c r="B183" s="707"/>
      <c r="C183" s="707"/>
      <c r="D183" s="742"/>
      <c r="E183" s="742"/>
      <c r="F183" s="707"/>
      <c r="G183" s="707"/>
      <c r="H183" s="683"/>
      <c r="I183" s="1893"/>
      <c r="J183" s="590"/>
      <c r="K183" s="806" t="s">
        <v>1133</v>
      </c>
      <c r="L183" s="808" t="s">
        <v>464</v>
      </c>
      <c r="M183" s="666">
        <v>7800</v>
      </c>
    </row>
    <row r="184" spans="1:13" ht="18" customHeight="1">
      <c r="A184" s="706"/>
      <c r="B184" s="707"/>
      <c r="C184" s="707"/>
      <c r="D184" s="742"/>
      <c r="E184" s="742"/>
      <c r="F184" s="707"/>
      <c r="G184" s="707"/>
      <c r="H184" s="1871"/>
      <c r="I184" s="1888"/>
      <c r="J184" s="595"/>
      <c r="K184" s="908" t="s">
        <v>1134</v>
      </c>
      <c r="L184" s="924" t="s">
        <v>242</v>
      </c>
      <c r="M184" s="1078">
        <v>330</v>
      </c>
    </row>
    <row r="185" spans="1:13" ht="18" customHeight="1">
      <c r="A185" s="706"/>
      <c r="B185" s="707"/>
      <c r="C185" s="707"/>
      <c r="D185" s="742"/>
      <c r="E185" s="742"/>
      <c r="F185" s="707"/>
      <c r="G185" s="743" t="s">
        <v>991</v>
      </c>
      <c r="H185" s="683">
        <f>M185</f>
        <v>14580</v>
      </c>
      <c r="I185" s="1893">
        <v>14580</v>
      </c>
      <c r="J185" s="590">
        <f>H185-I185</f>
        <v>0</v>
      </c>
      <c r="K185" s="880" t="s">
        <v>991</v>
      </c>
      <c r="L185" s="808"/>
      <c r="M185" s="1824">
        <f>M186+M187+M188+M189+M190+M191</f>
        <v>14580</v>
      </c>
    </row>
    <row r="186" spans="1:13" ht="18" customHeight="1">
      <c r="A186" s="706"/>
      <c r="B186" s="707"/>
      <c r="C186" s="707"/>
      <c r="D186" s="742"/>
      <c r="E186" s="742"/>
      <c r="F186" s="707"/>
      <c r="G186" s="707"/>
      <c r="H186" s="683"/>
      <c r="I186" s="1893"/>
      <c r="J186" s="590"/>
      <c r="K186" s="879" t="s">
        <v>1135</v>
      </c>
      <c r="L186" s="808" t="s">
        <v>464</v>
      </c>
      <c r="M186" s="666">
        <v>5520</v>
      </c>
    </row>
    <row r="187" spans="1:13" ht="18" customHeight="1">
      <c r="A187" s="706"/>
      <c r="B187" s="707"/>
      <c r="C187" s="707"/>
      <c r="D187" s="742"/>
      <c r="E187" s="742"/>
      <c r="F187" s="707"/>
      <c r="G187" s="707"/>
      <c r="H187" s="683"/>
      <c r="I187" s="1893"/>
      <c r="J187" s="590"/>
      <c r="K187" s="879" t="s">
        <v>1136</v>
      </c>
      <c r="L187" s="808" t="s">
        <v>464</v>
      </c>
      <c r="M187" s="666">
        <v>5640</v>
      </c>
    </row>
    <row r="188" spans="1:13" ht="18" customHeight="1">
      <c r="A188" s="706"/>
      <c r="B188" s="707"/>
      <c r="C188" s="707"/>
      <c r="D188" s="742"/>
      <c r="E188" s="742"/>
      <c r="F188" s="707"/>
      <c r="G188" s="707"/>
      <c r="H188" s="683"/>
      <c r="I188" s="1893"/>
      <c r="J188" s="590"/>
      <c r="K188" s="879" t="s">
        <v>1137</v>
      </c>
      <c r="L188" s="808" t="s">
        <v>464</v>
      </c>
      <c r="M188" s="666">
        <v>2160</v>
      </c>
    </row>
    <row r="189" spans="1:13" ht="18" customHeight="1">
      <c r="A189" s="706"/>
      <c r="B189" s="707"/>
      <c r="C189" s="707"/>
      <c r="D189" s="742"/>
      <c r="E189" s="742"/>
      <c r="F189" s="707"/>
      <c r="G189" s="707"/>
      <c r="H189" s="683"/>
      <c r="I189" s="1893"/>
      <c r="J189" s="590"/>
      <c r="K189" s="879" t="s">
        <v>1138</v>
      </c>
      <c r="L189" s="808" t="s">
        <v>464</v>
      </c>
      <c r="M189" s="666">
        <v>420</v>
      </c>
    </row>
    <row r="190" spans="1:13" ht="18" customHeight="1">
      <c r="A190" s="706"/>
      <c r="B190" s="707"/>
      <c r="C190" s="707"/>
      <c r="D190" s="742"/>
      <c r="E190" s="742"/>
      <c r="F190" s="707"/>
      <c r="G190" s="707"/>
      <c r="H190" s="683"/>
      <c r="I190" s="1893"/>
      <c r="J190" s="590"/>
      <c r="K190" s="879" t="s">
        <v>1139</v>
      </c>
      <c r="L190" s="808" t="s">
        <v>464</v>
      </c>
      <c r="M190" s="666">
        <v>420</v>
      </c>
    </row>
    <row r="191" spans="1:13" ht="18" customHeight="1">
      <c r="A191" s="706"/>
      <c r="B191" s="707"/>
      <c r="C191" s="707"/>
      <c r="D191" s="742"/>
      <c r="E191" s="742"/>
      <c r="F191" s="707"/>
      <c r="G191" s="707"/>
      <c r="H191" s="1871"/>
      <c r="I191" s="1888"/>
      <c r="J191" s="595"/>
      <c r="K191" s="923" t="s">
        <v>1140</v>
      </c>
      <c r="L191" s="924" t="s">
        <v>464</v>
      </c>
      <c r="M191" s="1078">
        <v>420</v>
      </c>
    </row>
    <row r="192" spans="1:13" ht="18" customHeight="1">
      <c r="A192" s="706"/>
      <c r="B192" s="707"/>
      <c r="C192" s="707"/>
      <c r="D192" s="742"/>
      <c r="E192" s="742"/>
      <c r="F192" s="707"/>
      <c r="G192" s="743" t="s">
        <v>992</v>
      </c>
      <c r="H192" s="683">
        <f>M192</f>
        <v>5040</v>
      </c>
      <c r="I192" s="1893">
        <v>5040</v>
      </c>
      <c r="J192" s="590">
        <f>H192-I192</f>
        <v>0</v>
      </c>
      <c r="K192" s="880" t="s">
        <v>992</v>
      </c>
      <c r="L192" s="808"/>
      <c r="M192" s="1824">
        <f>M193+M194</f>
        <v>5040</v>
      </c>
    </row>
    <row r="193" spans="1:14" ht="18" customHeight="1">
      <c r="A193" s="706"/>
      <c r="B193" s="707"/>
      <c r="C193" s="707"/>
      <c r="D193" s="742"/>
      <c r="E193" s="742"/>
      <c r="F193" s="707"/>
      <c r="G193" s="707"/>
      <c r="H193" s="683"/>
      <c r="I193" s="1893"/>
      <c r="J193" s="590"/>
      <c r="K193" s="809" t="s">
        <v>1141</v>
      </c>
      <c r="L193" s="805" t="s">
        <v>464</v>
      </c>
      <c r="M193" s="666">
        <v>1080</v>
      </c>
    </row>
    <row r="194" spans="1:14" ht="18" customHeight="1">
      <c r="A194" s="706"/>
      <c r="B194" s="707"/>
      <c r="C194" s="707"/>
      <c r="D194" s="742"/>
      <c r="E194" s="742"/>
      <c r="F194" s="707"/>
      <c r="G194" s="707"/>
      <c r="H194" s="683"/>
      <c r="I194" s="1893"/>
      <c r="J194" s="590"/>
      <c r="K194" s="857" t="s">
        <v>1142</v>
      </c>
      <c r="L194" s="810"/>
      <c r="M194" s="666">
        <f>SUM(M195:M196)</f>
        <v>3960</v>
      </c>
    </row>
    <row r="195" spans="1:14" ht="18" customHeight="1">
      <c r="A195" s="706"/>
      <c r="B195" s="707"/>
      <c r="C195" s="707"/>
      <c r="D195" s="742"/>
      <c r="E195" s="742"/>
      <c r="F195" s="707"/>
      <c r="G195" s="707"/>
      <c r="H195" s="683"/>
      <c r="I195" s="1893"/>
      <c r="J195" s="590"/>
      <c r="K195" s="822" t="s">
        <v>1143</v>
      </c>
      <c r="L195" s="785" t="s">
        <v>242</v>
      </c>
      <c r="M195" s="666">
        <v>1560</v>
      </c>
    </row>
    <row r="196" spans="1:14" ht="18" customHeight="1">
      <c r="A196" s="706"/>
      <c r="B196" s="707"/>
      <c r="C196" s="707"/>
      <c r="D196" s="742"/>
      <c r="E196" s="742"/>
      <c r="F196" s="707"/>
      <c r="G196" s="752"/>
      <c r="H196" s="1871"/>
      <c r="I196" s="1888"/>
      <c r="J196" s="595"/>
      <c r="K196" s="873" t="s">
        <v>1144</v>
      </c>
      <c r="L196" s="922" t="s">
        <v>242</v>
      </c>
      <c r="M196" s="1078">
        <v>2400</v>
      </c>
    </row>
    <row r="197" spans="1:14" ht="18" customHeight="1">
      <c r="A197" s="706"/>
      <c r="B197" s="707"/>
      <c r="C197" s="707"/>
      <c r="D197" s="742"/>
      <c r="E197" s="742"/>
      <c r="F197" s="707"/>
      <c r="G197" s="707" t="s">
        <v>1005</v>
      </c>
      <c r="H197" s="683">
        <f>M197</f>
        <v>130500</v>
      </c>
      <c r="I197" s="1893">
        <v>122100</v>
      </c>
      <c r="J197" s="590">
        <f>H197-I197</f>
        <v>8400</v>
      </c>
      <c r="K197" s="880" t="s">
        <v>411</v>
      </c>
      <c r="L197" s="808"/>
      <c r="M197" s="1824">
        <f>M198+M199+M200+M201</f>
        <v>130500</v>
      </c>
    </row>
    <row r="198" spans="1:14" ht="18" customHeight="1">
      <c r="A198" s="706"/>
      <c r="B198" s="707"/>
      <c r="C198" s="707"/>
      <c r="D198" s="742"/>
      <c r="E198" s="742"/>
      <c r="F198" s="707"/>
      <c r="G198" s="707"/>
      <c r="H198" s="683"/>
      <c r="I198" s="1893"/>
      <c r="J198" s="590"/>
      <c r="K198" s="879" t="s">
        <v>1145</v>
      </c>
      <c r="L198" s="805" t="s">
        <v>464</v>
      </c>
      <c r="M198" s="666">
        <v>13200</v>
      </c>
    </row>
    <row r="199" spans="1:14" ht="18" customHeight="1">
      <c r="A199" s="706"/>
      <c r="B199" s="707"/>
      <c r="C199" s="707"/>
      <c r="D199" s="742"/>
      <c r="E199" s="742"/>
      <c r="F199" s="707"/>
      <c r="G199" s="707"/>
      <c r="H199" s="683"/>
      <c r="I199" s="1893"/>
      <c r="J199" s="590"/>
      <c r="K199" s="807" t="s">
        <v>1146</v>
      </c>
      <c r="L199" s="805" t="s">
        <v>464</v>
      </c>
      <c r="M199" s="666">
        <v>108000</v>
      </c>
    </row>
    <row r="200" spans="1:14" ht="18" customHeight="1">
      <c r="A200" s="706"/>
      <c r="B200" s="707"/>
      <c r="C200" s="707"/>
      <c r="D200" s="742"/>
      <c r="E200" s="742"/>
      <c r="F200" s="707"/>
      <c r="G200" s="707"/>
      <c r="H200" s="683"/>
      <c r="I200" s="1893"/>
      <c r="J200" s="590"/>
      <c r="K200" s="806" t="s">
        <v>1147</v>
      </c>
      <c r="L200" s="805" t="s">
        <v>464</v>
      </c>
      <c r="M200" s="666">
        <v>8400</v>
      </c>
    </row>
    <row r="201" spans="1:14" ht="18" customHeight="1">
      <c r="A201" s="706"/>
      <c r="B201" s="707"/>
      <c r="C201" s="707"/>
      <c r="D201" s="742"/>
      <c r="E201" s="742"/>
      <c r="F201" s="707"/>
      <c r="G201" s="707"/>
      <c r="H201" s="1871"/>
      <c r="I201" s="1888"/>
      <c r="J201" s="595"/>
      <c r="K201" s="906" t="s">
        <v>1148</v>
      </c>
      <c r="L201" s="821" t="s">
        <v>464</v>
      </c>
      <c r="M201" s="1078">
        <v>900</v>
      </c>
    </row>
    <row r="202" spans="1:14" ht="18" customHeight="1">
      <c r="A202" s="706"/>
      <c r="B202" s="707"/>
      <c r="C202" s="707"/>
      <c r="D202" s="742"/>
      <c r="E202" s="742"/>
      <c r="F202" s="707"/>
      <c r="G202" s="743" t="s">
        <v>993</v>
      </c>
      <c r="H202" s="683">
        <f>M202</f>
        <v>1680</v>
      </c>
      <c r="I202" s="1893">
        <v>1680</v>
      </c>
      <c r="J202" s="590">
        <f>H202-I202</f>
        <v>0</v>
      </c>
      <c r="K202" s="905" t="s">
        <v>993</v>
      </c>
      <c r="L202" s="805"/>
      <c r="M202" s="1824">
        <f>M203</f>
        <v>1680</v>
      </c>
    </row>
    <row r="203" spans="1:14" ht="18" customHeight="1">
      <c r="A203" s="706"/>
      <c r="B203" s="707"/>
      <c r="C203" s="707"/>
      <c r="D203" s="742"/>
      <c r="E203" s="742"/>
      <c r="F203" s="707"/>
      <c r="G203" s="707"/>
      <c r="H203" s="1871"/>
      <c r="I203" s="1888"/>
      <c r="J203" s="595"/>
      <c r="K203" s="917" t="s">
        <v>1149</v>
      </c>
      <c r="L203" s="817" t="s">
        <v>464</v>
      </c>
      <c r="M203" s="1078">
        <v>1680</v>
      </c>
    </row>
    <row r="204" spans="1:14" ht="18" customHeight="1">
      <c r="A204" s="706"/>
      <c r="B204" s="707"/>
      <c r="C204" s="707"/>
      <c r="D204" s="707"/>
      <c r="E204" s="707"/>
      <c r="F204" s="747" t="s">
        <v>994</v>
      </c>
      <c r="G204" s="741"/>
      <c r="H204" s="1868">
        <f>H205</f>
        <v>2570</v>
      </c>
      <c r="I204" s="1892">
        <v>2570</v>
      </c>
      <c r="J204" s="595">
        <f>H204-I204</f>
        <v>0</v>
      </c>
      <c r="K204" s="917"/>
      <c r="L204" s="817"/>
      <c r="M204" s="1078"/>
    </row>
    <row r="205" spans="1:14" ht="18" customHeight="1">
      <c r="A205" s="706"/>
      <c r="B205" s="707"/>
      <c r="C205" s="707"/>
      <c r="D205" s="707"/>
      <c r="E205" s="707"/>
      <c r="F205" s="746"/>
      <c r="G205" s="743" t="s">
        <v>995</v>
      </c>
      <c r="H205" s="683">
        <f>M205</f>
        <v>2570</v>
      </c>
      <c r="I205" s="1893">
        <v>2570</v>
      </c>
      <c r="J205" s="590">
        <f>H205-I205</f>
        <v>0</v>
      </c>
      <c r="K205" s="814" t="s">
        <v>995</v>
      </c>
      <c r="L205" s="808"/>
      <c r="M205" s="1824">
        <f>M206+M207</f>
        <v>2570</v>
      </c>
    </row>
    <row r="206" spans="1:14" ht="18" customHeight="1">
      <c r="A206" s="706"/>
      <c r="B206" s="707"/>
      <c r="C206" s="707"/>
      <c r="D206" s="707"/>
      <c r="E206" s="707"/>
      <c r="F206" s="746"/>
      <c r="G206" s="707"/>
      <c r="H206" s="683"/>
      <c r="I206" s="1893"/>
      <c r="J206" s="590"/>
      <c r="K206" s="881" t="s">
        <v>1150</v>
      </c>
      <c r="L206" s="815" t="s">
        <v>464</v>
      </c>
      <c r="M206" s="666">
        <v>2400</v>
      </c>
    </row>
    <row r="207" spans="1:14" ht="18" customHeight="1">
      <c r="A207" s="706"/>
      <c r="B207" s="707"/>
      <c r="C207" s="707"/>
      <c r="D207" s="707"/>
      <c r="E207" s="707"/>
      <c r="F207" s="753"/>
      <c r="G207" s="752"/>
      <c r="H207" s="683"/>
      <c r="I207" s="1888"/>
      <c r="J207" s="590"/>
      <c r="K207" s="881" t="s">
        <v>1151</v>
      </c>
      <c r="L207" s="815" t="s">
        <v>464</v>
      </c>
      <c r="M207" s="666">
        <v>170</v>
      </c>
    </row>
    <row r="208" spans="1:14" ht="18" customHeight="1">
      <c r="A208" s="706"/>
      <c r="B208" s="707"/>
      <c r="C208" s="707"/>
      <c r="D208" s="707"/>
      <c r="E208" s="707"/>
      <c r="F208" s="754" t="s">
        <v>997</v>
      </c>
      <c r="G208" s="755"/>
      <c r="H208" s="1859">
        <f>H209</f>
        <v>3000</v>
      </c>
      <c r="I208" s="1894">
        <v>3000</v>
      </c>
      <c r="J208" s="597">
        <f>H208-I208</f>
        <v>0</v>
      </c>
      <c r="K208" s="812"/>
      <c r="L208" s="813"/>
      <c r="M208" s="668"/>
      <c r="N208" s="25"/>
    </row>
    <row r="209" spans="1:13" ht="18" customHeight="1">
      <c r="A209" s="706"/>
      <c r="B209" s="707"/>
      <c r="C209" s="707"/>
      <c r="D209" s="707"/>
      <c r="E209" s="707"/>
      <c r="F209" s="756"/>
      <c r="G209" s="749" t="s">
        <v>998</v>
      </c>
      <c r="H209" s="683">
        <f>M209</f>
        <v>3000</v>
      </c>
      <c r="I209" s="1895">
        <v>3000</v>
      </c>
      <c r="J209" s="590">
        <f>H209-I209</f>
        <v>0</v>
      </c>
      <c r="K209" s="920" t="s">
        <v>998</v>
      </c>
      <c r="L209" s="805"/>
      <c r="M209" s="1824">
        <f>M210</f>
        <v>3000</v>
      </c>
    </row>
    <row r="210" spans="1:13" ht="18" customHeight="1">
      <c r="A210" s="711"/>
      <c r="B210" s="707"/>
      <c r="C210" s="707"/>
      <c r="D210" s="707"/>
      <c r="E210" s="707"/>
      <c r="F210" s="756"/>
      <c r="G210" s="750"/>
      <c r="H210" s="1871"/>
      <c r="I210" s="1896"/>
      <c r="J210" s="595"/>
      <c r="K210" s="917" t="s">
        <v>1152</v>
      </c>
      <c r="L210" s="817" t="s">
        <v>464</v>
      </c>
      <c r="M210" s="1078">
        <v>3000</v>
      </c>
    </row>
    <row r="211" spans="1:13" ht="18" customHeight="1">
      <c r="A211" s="340"/>
      <c r="B211" s="344"/>
      <c r="C211" s="344"/>
      <c r="D211" s="317" t="s">
        <v>302</v>
      </c>
      <c r="E211" s="342"/>
      <c r="F211" s="342"/>
      <c r="G211" s="343"/>
      <c r="H211" s="1879">
        <f>H212</f>
        <v>28856</v>
      </c>
      <c r="I211" s="1881">
        <v>24456</v>
      </c>
      <c r="J211" s="667">
        <f>H211-I211</f>
        <v>4400</v>
      </c>
      <c r="K211" s="539"/>
      <c r="L211" s="424"/>
      <c r="M211" s="1078"/>
    </row>
    <row r="212" spans="1:13" ht="18" customHeight="1">
      <c r="A212" s="340"/>
      <c r="B212" s="344"/>
      <c r="C212" s="347"/>
      <c r="D212" s="348"/>
      <c r="E212" s="341" t="s">
        <v>987</v>
      </c>
      <c r="F212" s="342"/>
      <c r="G212" s="343"/>
      <c r="H212" s="1879">
        <f>H213</f>
        <v>28856</v>
      </c>
      <c r="I212" s="1880">
        <v>24456</v>
      </c>
      <c r="J212" s="667">
        <f t="shared" ref="J212:J213" si="9">H212-I212</f>
        <v>4400</v>
      </c>
      <c r="K212" s="535"/>
      <c r="L212" s="853"/>
      <c r="M212" s="1078"/>
    </row>
    <row r="213" spans="1:13" ht="18" customHeight="1">
      <c r="A213" s="706"/>
      <c r="B213" s="707"/>
      <c r="C213" s="707"/>
      <c r="D213" s="707"/>
      <c r="E213" s="707"/>
      <c r="F213" s="757" t="s">
        <v>1002</v>
      </c>
      <c r="G213" s="758"/>
      <c r="H213" s="1871">
        <f>H214</f>
        <v>28856</v>
      </c>
      <c r="I213" s="1896">
        <v>24456</v>
      </c>
      <c r="J213" s="595">
        <f t="shared" si="9"/>
        <v>4400</v>
      </c>
      <c r="K213" s="918"/>
      <c r="L213" s="919"/>
      <c r="M213" s="1078"/>
    </row>
    <row r="214" spans="1:13" ht="18" customHeight="1">
      <c r="A214" s="706"/>
      <c r="B214" s="707"/>
      <c r="C214" s="742"/>
      <c r="D214" s="707"/>
      <c r="E214" s="707"/>
      <c r="F214" s="756"/>
      <c r="G214" s="749" t="s">
        <v>418</v>
      </c>
      <c r="H214" s="683">
        <f>M214</f>
        <v>28856</v>
      </c>
      <c r="I214" s="1891">
        <v>24456</v>
      </c>
      <c r="J214" s="590">
        <f>H214-I214</f>
        <v>4400</v>
      </c>
      <c r="K214" s="882" t="s">
        <v>418</v>
      </c>
      <c r="L214" s="816"/>
      <c r="M214" s="1824">
        <f>M215+M216+M217+M218</f>
        <v>28856</v>
      </c>
    </row>
    <row r="215" spans="1:13" ht="18" customHeight="1">
      <c r="A215" s="706"/>
      <c r="B215" s="707"/>
      <c r="C215" s="742"/>
      <c r="D215" s="707"/>
      <c r="E215" s="707"/>
      <c r="F215" s="756"/>
      <c r="G215" s="750"/>
      <c r="H215" s="683"/>
      <c r="I215" s="1891"/>
      <c r="J215" s="590"/>
      <c r="K215" s="807" t="s">
        <v>1153</v>
      </c>
      <c r="L215" s="805" t="s">
        <v>464</v>
      </c>
      <c r="M215" s="666">
        <v>24000</v>
      </c>
    </row>
    <row r="216" spans="1:13" ht="18" customHeight="1">
      <c r="A216" s="706"/>
      <c r="B216" s="707"/>
      <c r="C216" s="742"/>
      <c r="D216" s="707"/>
      <c r="E216" s="707"/>
      <c r="F216" s="756"/>
      <c r="G216" s="750"/>
      <c r="H216" s="683"/>
      <c r="I216" s="1891"/>
      <c r="J216" s="590"/>
      <c r="K216" s="807" t="s">
        <v>1154</v>
      </c>
      <c r="L216" s="805" t="s">
        <v>464</v>
      </c>
      <c r="M216" s="666">
        <v>456</v>
      </c>
    </row>
    <row r="217" spans="1:13" ht="18" customHeight="1">
      <c r="A217" s="706"/>
      <c r="B217" s="707"/>
      <c r="C217" s="742"/>
      <c r="D217" s="707"/>
      <c r="E217" s="707"/>
      <c r="F217" s="756"/>
      <c r="G217" s="750"/>
      <c r="H217" s="683"/>
      <c r="I217" s="1891"/>
      <c r="J217" s="590"/>
      <c r="K217" s="807" t="s">
        <v>1155</v>
      </c>
      <c r="L217" s="805" t="s">
        <v>464</v>
      </c>
      <c r="M217" s="666">
        <v>2400</v>
      </c>
    </row>
    <row r="218" spans="1:13" ht="18" customHeight="1">
      <c r="A218" s="706"/>
      <c r="B218" s="707"/>
      <c r="C218" s="742"/>
      <c r="D218" s="707"/>
      <c r="E218" s="707"/>
      <c r="F218" s="754"/>
      <c r="G218" s="759"/>
      <c r="H218" s="1871"/>
      <c r="I218" s="1896"/>
      <c r="J218" s="595"/>
      <c r="K218" s="917" t="s">
        <v>1156</v>
      </c>
      <c r="L218" s="817" t="s">
        <v>464</v>
      </c>
      <c r="M218" s="1078">
        <v>2000</v>
      </c>
    </row>
    <row r="219" spans="1:13" ht="18" customHeight="1">
      <c r="A219" s="340"/>
      <c r="B219" s="344"/>
      <c r="C219" s="388" t="s">
        <v>303</v>
      </c>
      <c r="D219" s="342"/>
      <c r="E219" s="342"/>
      <c r="F219" s="342"/>
      <c r="G219" s="343"/>
      <c r="H219" s="1879">
        <f>H220+H296</f>
        <v>195000</v>
      </c>
      <c r="I219" s="1880">
        <v>185000</v>
      </c>
      <c r="J219" s="667">
        <f>H219-I219</f>
        <v>10000</v>
      </c>
      <c r="K219" s="423"/>
      <c r="L219" s="424"/>
      <c r="M219" s="1078"/>
    </row>
    <row r="220" spans="1:13" ht="18" customHeight="1">
      <c r="A220" s="340"/>
      <c r="B220" s="344"/>
      <c r="C220" s="346"/>
      <c r="D220" s="317" t="s">
        <v>1221</v>
      </c>
      <c r="E220" s="342"/>
      <c r="F220" s="342"/>
      <c r="G220" s="343"/>
      <c r="H220" s="1879">
        <f>H221+H241+H292</f>
        <v>180794</v>
      </c>
      <c r="I220" s="1881">
        <v>169301</v>
      </c>
      <c r="J220" s="667">
        <f t="shared" ref="J220:J223" si="10">H220-I220</f>
        <v>11493</v>
      </c>
      <c r="K220" s="539"/>
      <c r="L220" s="424"/>
      <c r="M220" s="1078"/>
    </row>
    <row r="221" spans="1:13" ht="18" customHeight="1">
      <c r="A221" s="340"/>
      <c r="B221" s="344"/>
      <c r="C221" s="347"/>
      <c r="D221" s="348"/>
      <c r="E221" s="342" t="s">
        <v>984</v>
      </c>
      <c r="F221" s="342"/>
      <c r="G221" s="343"/>
      <c r="H221" s="1879">
        <f>H222</f>
        <v>89140</v>
      </c>
      <c r="I221" s="1880">
        <v>60909</v>
      </c>
      <c r="J221" s="667">
        <f t="shared" si="10"/>
        <v>28231</v>
      </c>
      <c r="K221" s="535"/>
      <c r="L221" s="853"/>
      <c r="M221" s="1078"/>
    </row>
    <row r="222" spans="1:13" ht="18" customHeight="1">
      <c r="A222" s="711"/>
      <c r="B222" s="707"/>
      <c r="C222" s="707"/>
      <c r="D222" s="707"/>
      <c r="E222" s="740"/>
      <c r="F222" s="747" t="s">
        <v>985</v>
      </c>
      <c r="G222" s="741"/>
      <c r="H222" s="1871">
        <f>H223</f>
        <v>89140</v>
      </c>
      <c r="I222" s="1886">
        <v>60909</v>
      </c>
      <c r="J222" s="595">
        <f t="shared" si="10"/>
        <v>28231</v>
      </c>
      <c r="K222" s="916"/>
      <c r="L222" s="914"/>
      <c r="M222" s="1078"/>
    </row>
    <row r="223" spans="1:13" ht="18" customHeight="1">
      <c r="A223" s="711"/>
      <c r="B223" s="707"/>
      <c r="C223" s="707"/>
      <c r="D223" s="742"/>
      <c r="E223" s="742"/>
      <c r="F223" s="707"/>
      <c r="G223" s="743" t="s">
        <v>1003</v>
      </c>
      <c r="H223" s="683">
        <f>M223</f>
        <v>89140</v>
      </c>
      <c r="I223" s="1887">
        <v>60909</v>
      </c>
      <c r="J223" s="590">
        <f t="shared" si="10"/>
        <v>28231</v>
      </c>
      <c r="K223" s="915" t="s">
        <v>1003</v>
      </c>
      <c r="L223" s="805"/>
      <c r="M223" s="1824">
        <f>M224+M231+M236</f>
        <v>89140</v>
      </c>
    </row>
    <row r="224" spans="1:13" ht="18" customHeight="1">
      <c r="A224" s="711"/>
      <c r="B224" s="707"/>
      <c r="C224" s="707"/>
      <c r="D224" s="742"/>
      <c r="E224" s="742"/>
      <c r="F224" s="744"/>
      <c r="G224" s="744"/>
      <c r="H224" s="683"/>
      <c r="I224" s="1887"/>
      <c r="J224" s="590"/>
      <c r="K224" s="881" t="s">
        <v>1157</v>
      </c>
      <c r="L224" s="818"/>
      <c r="M224" s="1824">
        <f>SUM(M225:M230)</f>
        <v>67716</v>
      </c>
    </row>
    <row r="225" spans="1:13" ht="18" customHeight="1">
      <c r="A225" s="711"/>
      <c r="B225" s="707"/>
      <c r="C225" s="707"/>
      <c r="D225" s="742"/>
      <c r="E225" s="742"/>
      <c r="F225" s="707"/>
      <c r="G225" s="707"/>
      <c r="H225" s="683"/>
      <c r="I225" s="1887"/>
      <c r="J225" s="590"/>
      <c r="K225" s="883" t="s">
        <v>1158</v>
      </c>
      <c r="L225" s="818" t="s">
        <v>242</v>
      </c>
      <c r="M225" s="666">
        <v>34913</v>
      </c>
    </row>
    <row r="226" spans="1:13" ht="18" customHeight="1">
      <c r="A226" s="711"/>
      <c r="B226" s="707"/>
      <c r="C226" s="707"/>
      <c r="D226" s="742"/>
      <c r="E226" s="742"/>
      <c r="F226" s="707"/>
      <c r="G226" s="707"/>
      <c r="H226" s="683"/>
      <c r="I226" s="1887"/>
      <c r="J226" s="590"/>
      <c r="K226" s="883" t="s">
        <v>1159</v>
      </c>
      <c r="L226" s="818" t="s">
        <v>242</v>
      </c>
      <c r="M226" s="666">
        <v>6983</v>
      </c>
    </row>
    <row r="227" spans="1:13" ht="18" customHeight="1">
      <c r="A227" s="711"/>
      <c r="B227" s="707"/>
      <c r="C227" s="707"/>
      <c r="D227" s="742"/>
      <c r="E227" s="742"/>
      <c r="F227" s="707"/>
      <c r="G227" s="707"/>
      <c r="H227" s="683"/>
      <c r="I227" s="1887"/>
      <c r="J227" s="590"/>
      <c r="K227" s="883" t="s">
        <v>1160</v>
      </c>
      <c r="L227" s="818" t="s">
        <v>242</v>
      </c>
      <c r="M227" s="666">
        <v>6043</v>
      </c>
    </row>
    <row r="228" spans="1:13" ht="18" customHeight="1">
      <c r="A228" s="711"/>
      <c r="B228" s="707"/>
      <c r="C228" s="707"/>
      <c r="D228" s="742"/>
      <c r="E228" s="742"/>
      <c r="F228" s="707"/>
      <c r="G228" s="707"/>
      <c r="H228" s="683"/>
      <c r="I228" s="1887"/>
      <c r="J228" s="590"/>
      <c r="K228" s="883" t="s">
        <v>1161</v>
      </c>
      <c r="L228" s="818" t="s">
        <v>242</v>
      </c>
      <c r="M228" s="666">
        <v>12085</v>
      </c>
    </row>
    <row r="229" spans="1:13" ht="18" customHeight="1">
      <c r="A229" s="711"/>
      <c r="B229" s="707"/>
      <c r="C229" s="707"/>
      <c r="D229" s="742"/>
      <c r="E229" s="742"/>
      <c r="F229" s="707"/>
      <c r="G229" s="707"/>
      <c r="H229" s="683"/>
      <c r="I229" s="1887"/>
      <c r="J229" s="590"/>
      <c r="K229" s="883" t="s">
        <v>1162</v>
      </c>
      <c r="L229" s="818" t="s">
        <v>242</v>
      </c>
      <c r="M229" s="666">
        <v>5036</v>
      </c>
    </row>
    <row r="230" spans="1:13" ht="18" customHeight="1">
      <c r="A230" s="711"/>
      <c r="B230" s="707"/>
      <c r="C230" s="707"/>
      <c r="D230" s="742"/>
      <c r="E230" s="742"/>
      <c r="F230" s="707"/>
      <c r="G230" s="707"/>
      <c r="H230" s="683"/>
      <c r="I230" s="1887"/>
      <c r="J230" s="590"/>
      <c r="K230" s="883" t="s">
        <v>1163</v>
      </c>
      <c r="L230" s="818" t="s">
        <v>242</v>
      </c>
      <c r="M230" s="666">
        <v>2656</v>
      </c>
    </row>
    <row r="231" spans="1:13" ht="18" customHeight="1">
      <c r="A231" s="711"/>
      <c r="B231" s="707"/>
      <c r="C231" s="707"/>
      <c r="D231" s="742"/>
      <c r="E231" s="742"/>
      <c r="F231" s="744"/>
      <c r="G231" s="744"/>
      <c r="H231" s="683"/>
      <c r="I231" s="1887"/>
      <c r="J231" s="590"/>
      <c r="K231" s="883" t="s">
        <v>1164</v>
      </c>
      <c r="L231" s="818"/>
      <c r="M231" s="1824">
        <f>SUM(M232:M235)</f>
        <v>8438</v>
      </c>
    </row>
    <row r="232" spans="1:13" ht="18" customHeight="1">
      <c r="A232" s="711"/>
      <c r="B232" s="707"/>
      <c r="C232" s="707"/>
      <c r="D232" s="742"/>
      <c r="E232" s="742"/>
      <c r="F232" s="707"/>
      <c r="G232" s="707"/>
      <c r="H232" s="683"/>
      <c r="I232" s="1887"/>
      <c r="J232" s="590"/>
      <c r="K232" s="883" t="s">
        <v>1165</v>
      </c>
      <c r="L232" s="818" t="s">
        <v>242</v>
      </c>
      <c r="M232" s="666">
        <v>5819</v>
      </c>
    </row>
    <row r="233" spans="1:13" ht="18" customHeight="1">
      <c r="A233" s="711"/>
      <c r="B233" s="707"/>
      <c r="C233" s="707"/>
      <c r="D233" s="742"/>
      <c r="E233" s="742"/>
      <c r="F233" s="707"/>
      <c r="G233" s="707"/>
      <c r="H233" s="683"/>
      <c r="I233" s="1887"/>
      <c r="J233" s="590"/>
      <c r="K233" s="883" t="s">
        <v>1166</v>
      </c>
      <c r="L233" s="818" t="s">
        <v>242</v>
      </c>
      <c r="M233" s="666">
        <v>1164</v>
      </c>
    </row>
    <row r="234" spans="1:13" ht="18" customHeight="1">
      <c r="A234" s="711"/>
      <c r="B234" s="707"/>
      <c r="C234" s="707"/>
      <c r="D234" s="742"/>
      <c r="E234" s="742"/>
      <c r="F234" s="707"/>
      <c r="G234" s="707"/>
      <c r="H234" s="683"/>
      <c r="I234" s="1887"/>
      <c r="J234" s="590"/>
      <c r="K234" s="883" t="s">
        <v>1167</v>
      </c>
      <c r="L234" s="818" t="s">
        <v>242</v>
      </c>
      <c r="M234" s="666">
        <v>1007</v>
      </c>
    </row>
    <row r="235" spans="1:13" ht="18" customHeight="1">
      <c r="A235" s="711"/>
      <c r="B235" s="707"/>
      <c r="C235" s="707"/>
      <c r="D235" s="742"/>
      <c r="E235" s="742"/>
      <c r="F235" s="707"/>
      <c r="G235" s="707"/>
      <c r="H235" s="683"/>
      <c r="I235" s="1887"/>
      <c r="J235" s="590"/>
      <c r="K235" s="883" t="s">
        <v>1168</v>
      </c>
      <c r="L235" s="818" t="s">
        <v>242</v>
      </c>
      <c r="M235" s="666">
        <v>448</v>
      </c>
    </row>
    <row r="236" spans="1:13" ht="18" customHeight="1">
      <c r="A236" s="711"/>
      <c r="B236" s="707"/>
      <c r="C236" s="707"/>
      <c r="D236" s="742"/>
      <c r="E236" s="742"/>
      <c r="F236" s="744"/>
      <c r="G236" s="744"/>
      <c r="H236" s="683"/>
      <c r="I236" s="1887"/>
      <c r="J236" s="590"/>
      <c r="K236" s="881" t="s">
        <v>1169</v>
      </c>
      <c r="L236" s="818"/>
      <c r="M236" s="1824">
        <f>SUM(M237:M240)</f>
        <v>12986</v>
      </c>
    </row>
    <row r="237" spans="1:13" ht="18" customHeight="1">
      <c r="A237" s="711"/>
      <c r="B237" s="707"/>
      <c r="C237" s="707"/>
      <c r="D237" s="742"/>
      <c r="E237" s="742"/>
      <c r="F237" s="707"/>
      <c r="G237" s="707"/>
      <c r="H237" s="683"/>
      <c r="I237" s="1887"/>
      <c r="J237" s="590"/>
      <c r="K237" s="883" t="s">
        <v>1170</v>
      </c>
      <c r="L237" s="818" t="s">
        <v>242</v>
      </c>
      <c r="M237" s="666">
        <v>8958</v>
      </c>
    </row>
    <row r="238" spans="1:13" ht="18" customHeight="1">
      <c r="A238" s="711"/>
      <c r="B238" s="707"/>
      <c r="C238" s="707"/>
      <c r="D238" s="742"/>
      <c r="E238" s="742"/>
      <c r="F238" s="707"/>
      <c r="G238" s="707"/>
      <c r="H238" s="683"/>
      <c r="I238" s="1887"/>
      <c r="J238" s="590"/>
      <c r="K238" s="883" t="s">
        <v>1171</v>
      </c>
      <c r="L238" s="818" t="s">
        <v>242</v>
      </c>
      <c r="M238" s="666">
        <v>1790</v>
      </c>
    </row>
    <row r="239" spans="1:13" ht="18" customHeight="1">
      <c r="A239" s="711"/>
      <c r="B239" s="707"/>
      <c r="C239" s="707"/>
      <c r="D239" s="742"/>
      <c r="E239" s="742"/>
      <c r="F239" s="707"/>
      <c r="G239" s="707"/>
      <c r="H239" s="683"/>
      <c r="I239" s="1887"/>
      <c r="J239" s="590"/>
      <c r="K239" s="883" t="s">
        <v>1172</v>
      </c>
      <c r="L239" s="818" t="s">
        <v>242</v>
      </c>
      <c r="M239" s="666">
        <v>1343</v>
      </c>
    </row>
    <row r="240" spans="1:13" ht="18" customHeight="1">
      <c r="A240" s="711"/>
      <c r="B240" s="707"/>
      <c r="C240" s="707"/>
      <c r="D240" s="742"/>
      <c r="E240" s="742"/>
      <c r="F240" s="707"/>
      <c r="G240" s="707"/>
      <c r="H240" s="1871"/>
      <c r="I240" s="1886"/>
      <c r="J240" s="595"/>
      <c r="K240" s="913" t="s">
        <v>1173</v>
      </c>
      <c r="L240" s="914" t="s">
        <v>242</v>
      </c>
      <c r="M240" s="1078">
        <v>895</v>
      </c>
    </row>
    <row r="241" spans="1:13" ht="18" customHeight="1">
      <c r="A241" s="340"/>
      <c r="B241" s="344"/>
      <c r="C241" s="347"/>
      <c r="D241" s="347"/>
      <c r="E241" s="341" t="s">
        <v>987</v>
      </c>
      <c r="F241" s="342"/>
      <c r="G241" s="343"/>
      <c r="H241" s="1879">
        <f>H242+H282+H286+H289</f>
        <v>90654</v>
      </c>
      <c r="I241" s="1880">
        <v>108392</v>
      </c>
      <c r="J241" s="667">
        <f>H241-I241</f>
        <v>-17738</v>
      </c>
      <c r="K241" s="535"/>
      <c r="L241" s="853"/>
      <c r="M241" s="1078"/>
    </row>
    <row r="242" spans="1:13" ht="18" customHeight="1">
      <c r="A242" s="711"/>
      <c r="B242" s="707"/>
      <c r="C242" s="707"/>
      <c r="D242" s="746"/>
      <c r="E242" s="746"/>
      <c r="F242" s="747" t="s">
        <v>988</v>
      </c>
      <c r="G242" s="748"/>
      <c r="H242" s="1871">
        <f>H243+H255+H257+H265+H269+H274+H280</f>
        <v>83814</v>
      </c>
      <c r="I242" s="1888">
        <v>99512</v>
      </c>
      <c r="J242" s="595">
        <f t="shared" ref="J242:J243" si="11">H242-I242</f>
        <v>-15698</v>
      </c>
      <c r="K242" s="911"/>
      <c r="L242" s="912"/>
      <c r="M242" s="1078"/>
    </row>
    <row r="243" spans="1:13" ht="18" customHeight="1">
      <c r="A243" s="711"/>
      <c r="B243" s="707"/>
      <c r="C243" s="707"/>
      <c r="D243" s="707"/>
      <c r="E243" s="707"/>
      <c r="F243" s="744"/>
      <c r="G243" s="744" t="s">
        <v>989</v>
      </c>
      <c r="H243" s="683">
        <f>M243</f>
        <v>14266</v>
      </c>
      <c r="I243" s="1893">
        <v>14914</v>
      </c>
      <c r="J243" s="590">
        <f t="shared" si="11"/>
        <v>-648</v>
      </c>
      <c r="K243" s="814" t="s">
        <v>989</v>
      </c>
      <c r="L243" s="808"/>
      <c r="M243" s="1824">
        <f>M244+M245+M246+M247+M248+M249+M250+M251+M252+M253+M254</f>
        <v>14266</v>
      </c>
    </row>
    <row r="244" spans="1:13" ht="18" customHeight="1">
      <c r="A244" s="711"/>
      <c r="B244" s="707"/>
      <c r="C244" s="707"/>
      <c r="D244" s="707"/>
      <c r="E244" s="707"/>
      <c r="F244" s="744"/>
      <c r="G244" s="744"/>
      <c r="H244" s="683"/>
      <c r="I244" s="1893"/>
      <c r="J244" s="590"/>
      <c r="K244" s="811" t="s">
        <v>1174</v>
      </c>
      <c r="L244" s="810" t="s">
        <v>242</v>
      </c>
      <c r="M244" s="666">
        <v>3000</v>
      </c>
    </row>
    <row r="245" spans="1:13" ht="18" customHeight="1">
      <c r="A245" s="711"/>
      <c r="B245" s="707"/>
      <c r="C245" s="707"/>
      <c r="D245" s="707"/>
      <c r="E245" s="707"/>
      <c r="F245" s="744"/>
      <c r="G245" s="744"/>
      <c r="H245" s="683"/>
      <c r="I245" s="1893"/>
      <c r="J245" s="590"/>
      <c r="K245" s="811" t="s">
        <v>1175</v>
      </c>
      <c r="L245" s="810" t="s">
        <v>242</v>
      </c>
      <c r="M245" s="666">
        <v>1800</v>
      </c>
    </row>
    <row r="246" spans="1:13" ht="18" customHeight="1">
      <c r="A246" s="711"/>
      <c r="B246" s="707"/>
      <c r="C246" s="707"/>
      <c r="D246" s="707"/>
      <c r="E246" s="707"/>
      <c r="F246" s="744"/>
      <c r="G246" s="744"/>
      <c r="H246" s="683"/>
      <c r="I246" s="1893"/>
      <c r="J246" s="590"/>
      <c r="K246" s="811" t="s">
        <v>1176</v>
      </c>
      <c r="L246" s="810" t="s">
        <v>242</v>
      </c>
      <c r="M246" s="666">
        <v>1800</v>
      </c>
    </row>
    <row r="247" spans="1:13" ht="18" customHeight="1">
      <c r="A247" s="711"/>
      <c r="B247" s="707"/>
      <c r="C247" s="707"/>
      <c r="D247" s="707"/>
      <c r="E247" s="707"/>
      <c r="F247" s="744"/>
      <c r="G247" s="744"/>
      <c r="H247" s="683"/>
      <c r="I247" s="1893"/>
      <c r="J247" s="590"/>
      <c r="K247" s="806" t="s">
        <v>1177</v>
      </c>
      <c r="L247" s="810" t="s">
        <v>242</v>
      </c>
      <c r="M247" s="666">
        <v>1200</v>
      </c>
    </row>
    <row r="248" spans="1:13" ht="18" customHeight="1">
      <c r="A248" s="711"/>
      <c r="B248" s="707"/>
      <c r="C248" s="707"/>
      <c r="D248" s="707"/>
      <c r="E248" s="707"/>
      <c r="F248" s="744"/>
      <c r="G248" s="744"/>
      <c r="H248" s="683"/>
      <c r="I248" s="1893"/>
      <c r="J248" s="590"/>
      <c r="K248" s="806" t="s">
        <v>1178</v>
      </c>
      <c r="L248" s="780" t="s">
        <v>242</v>
      </c>
      <c r="M248" s="666">
        <v>1600</v>
      </c>
    </row>
    <row r="249" spans="1:13" ht="18" customHeight="1">
      <c r="A249" s="711"/>
      <c r="B249" s="707"/>
      <c r="C249" s="707"/>
      <c r="D249" s="707"/>
      <c r="E249" s="707"/>
      <c r="F249" s="744"/>
      <c r="G249" s="744"/>
      <c r="H249" s="683"/>
      <c r="I249" s="1893"/>
      <c r="J249" s="590"/>
      <c r="K249" s="786" t="s">
        <v>1179</v>
      </c>
      <c r="L249" s="810" t="s">
        <v>242</v>
      </c>
      <c r="M249" s="666">
        <v>1200</v>
      </c>
    </row>
    <row r="250" spans="1:13" ht="18" customHeight="1">
      <c r="A250" s="711"/>
      <c r="B250" s="707"/>
      <c r="C250" s="707"/>
      <c r="D250" s="707"/>
      <c r="E250" s="707"/>
      <c r="F250" s="744"/>
      <c r="G250" s="744"/>
      <c r="H250" s="683"/>
      <c r="I250" s="1893"/>
      <c r="J250" s="590"/>
      <c r="K250" s="806" t="s">
        <v>1180</v>
      </c>
      <c r="L250" s="810" t="s">
        <v>242</v>
      </c>
      <c r="M250" s="666">
        <v>66</v>
      </c>
    </row>
    <row r="251" spans="1:13" ht="18" customHeight="1">
      <c r="A251" s="711"/>
      <c r="B251" s="707"/>
      <c r="C251" s="707"/>
      <c r="D251" s="707"/>
      <c r="E251" s="707"/>
      <c r="F251" s="744"/>
      <c r="G251" s="744"/>
      <c r="H251" s="683"/>
      <c r="I251" s="1893"/>
      <c r="J251" s="590"/>
      <c r="K251" s="806" t="s">
        <v>1181</v>
      </c>
      <c r="L251" s="810" t="s">
        <v>242</v>
      </c>
      <c r="M251" s="666">
        <v>1200</v>
      </c>
    </row>
    <row r="252" spans="1:13" ht="18" customHeight="1">
      <c r="A252" s="711"/>
      <c r="B252" s="707"/>
      <c r="C252" s="707"/>
      <c r="D252" s="707"/>
      <c r="E252" s="707"/>
      <c r="F252" s="744"/>
      <c r="G252" s="744"/>
      <c r="H252" s="683"/>
      <c r="I252" s="1893"/>
      <c r="J252" s="590"/>
      <c r="K252" s="806" t="s">
        <v>1182</v>
      </c>
      <c r="L252" s="810" t="s">
        <v>242</v>
      </c>
      <c r="M252" s="666">
        <v>1200</v>
      </c>
    </row>
    <row r="253" spans="1:13" ht="18" customHeight="1">
      <c r="A253" s="711"/>
      <c r="B253" s="707"/>
      <c r="C253" s="707"/>
      <c r="D253" s="707"/>
      <c r="E253" s="707"/>
      <c r="F253" s="744"/>
      <c r="G253" s="744"/>
      <c r="H253" s="683"/>
      <c r="I253" s="1893"/>
      <c r="J253" s="590"/>
      <c r="K253" s="806" t="s">
        <v>1183</v>
      </c>
      <c r="L253" s="810" t="s">
        <v>242</v>
      </c>
      <c r="M253" s="666">
        <v>500</v>
      </c>
    </row>
    <row r="254" spans="1:13" ht="18" customHeight="1">
      <c r="A254" s="711"/>
      <c r="B254" s="707"/>
      <c r="C254" s="707"/>
      <c r="D254" s="707"/>
      <c r="E254" s="707"/>
      <c r="F254" s="744"/>
      <c r="G254" s="744"/>
      <c r="H254" s="1871"/>
      <c r="I254" s="1888"/>
      <c r="J254" s="595"/>
      <c r="K254" s="910" t="s">
        <v>1184</v>
      </c>
      <c r="L254" s="821" t="s">
        <v>1185</v>
      </c>
      <c r="M254" s="1078">
        <v>700</v>
      </c>
    </row>
    <row r="255" spans="1:13" ht="18" customHeight="1">
      <c r="A255" s="711"/>
      <c r="B255" s="707"/>
      <c r="C255" s="707"/>
      <c r="D255" s="707"/>
      <c r="E255" s="707"/>
      <c r="F255" s="744"/>
      <c r="G255" s="749" t="s">
        <v>1004</v>
      </c>
      <c r="H255" s="683">
        <f>M255</f>
        <v>500</v>
      </c>
      <c r="I255" s="1891">
        <v>500</v>
      </c>
      <c r="J255" s="590">
        <f>H255-I255</f>
        <v>0</v>
      </c>
      <c r="K255" s="882" t="s">
        <v>1004</v>
      </c>
      <c r="L255" s="816"/>
      <c r="M255" s="1824">
        <f>M256</f>
        <v>500</v>
      </c>
    </row>
    <row r="256" spans="1:13" ht="18" customHeight="1">
      <c r="A256" s="711"/>
      <c r="B256" s="707"/>
      <c r="C256" s="707"/>
      <c r="D256" s="707"/>
      <c r="E256" s="707"/>
      <c r="F256" s="744"/>
      <c r="G256" s="750"/>
      <c r="H256" s="1871"/>
      <c r="I256" s="1896"/>
      <c r="J256" s="595"/>
      <c r="K256" s="901" t="s">
        <v>1128</v>
      </c>
      <c r="L256" s="821" t="s">
        <v>242</v>
      </c>
      <c r="M256" s="1078">
        <v>500</v>
      </c>
    </row>
    <row r="257" spans="1:13" ht="18" customHeight="1">
      <c r="A257" s="711"/>
      <c r="B257" s="707"/>
      <c r="C257" s="707"/>
      <c r="D257" s="707"/>
      <c r="E257" s="707"/>
      <c r="F257" s="744"/>
      <c r="G257" s="751" t="s">
        <v>990</v>
      </c>
      <c r="H257" s="683">
        <f>M257</f>
        <v>24900</v>
      </c>
      <c r="I257" s="1893">
        <v>17930</v>
      </c>
      <c r="J257" s="590">
        <f>H257-I257</f>
        <v>6970</v>
      </c>
      <c r="K257" s="909" t="s">
        <v>990</v>
      </c>
      <c r="L257" s="810"/>
      <c r="M257" s="1824">
        <f>M258+M259+M260+M261+M262+M263+M264</f>
        <v>24900</v>
      </c>
    </row>
    <row r="258" spans="1:13" ht="18" customHeight="1">
      <c r="A258" s="711"/>
      <c r="B258" s="707"/>
      <c r="C258" s="707"/>
      <c r="D258" s="707"/>
      <c r="E258" s="707"/>
      <c r="F258" s="744"/>
      <c r="G258" s="744"/>
      <c r="H258" s="683"/>
      <c r="I258" s="1893"/>
      <c r="J258" s="590"/>
      <c r="K258" s="806" t="s">
        <v>1186</v>
      </c>
      <c r="L258" s="810" t="s">
        <v>242</v>
      </c>
      <c r="M258" s="666">
        <v>2400</v>
      </c>
    </row>
    <row r="259" spans="1:13" ht="18" customHeight="1">
      <c r="A259" s="711"/>
      <c r="B259" s="707"/>
      <c r="C259" s="707"/>
      <c r="D259" s="707"/>
      <c r="E259" s="707"/>
      <c r="F259" s="744"/>
      <c r="G259" s="744"/>
      <c r="H259" s="683"/>
      <c r="I259" s="1893"/>
      <c r="J259" s="590"/>
      <c r="K259" s="806" t="s">
        <v>1187</v>
      </c>
      <c r="L259" s="810" t="s">
        <v>242</v>
      </c>
      <c r="M259" s="666">
        <v>4560</v>
      </c>
    </row>
    <row r="260" spans="1:13" ht="18" customHeight="1">
      <c r="A260" s="711"/>
      <c r="B260" s="707"/>
      <c r="C260" s="707"/>
      <c r="D260" s="707"/>
      <c r="E260" s="707"/>
      <c r="F260" s="744"/>
      <c r="G260" s="744"/>
      <c r="H260" s="683"/>
      <c r="I260" s="1893"/>
      <c r="J260" s="590"/>
      <c r="K260" s="806" t="s">
        <v>1188</v>
      </c>
      <c r="L260" s="810" t="s">
        <v>242</v>
      </c>
      <c r="M260" s="666">
        <v>3000</v>
      </c>
    </row>
    <row r="261" spans="1:13" ht="18" customHeight="1">
      <c r="A261" s="706"/>
      <c r="B261" s="707"/>
      <c r="C261" s="707"/>
      <c r="D261" s="742"/>
      <c r="E261" s="742"/>
      <c r="F261" s="744"/>
      <c r="G261" s="744"/>
      <c r="H261" s="683"/>
      <c r="I261" s="1893"/>
      <c r="J261" s="590"/>
      <c r="K261" s="806" t="s">
        <v>1189</v>
      </c>
      <c r="L261" s="810" t="s">
        <v>242</v>
      </c>
      <c r="M261" s="666">
        <v>3360</v>
      </c>
    </row>
    <row r="262" spans="1:13" ht="18" customHeight="1">
      <c r="A262" s="706"/>
      <c r="B262" s="707"/>
      <c r="C262" s="707"/>
      <c r="D262" s="742"/>
      <c r="E262" s="742"/>
      <c r="F262" s="707"/>
      <c r="G262" s="707"/>
      <c r="H262" s="683"/>
      <c r="I262" s="1893"/>
      <c r="J262" s="590"/>
      <c r="K262" s="806" t="s">
        <v>1190</v>
      </c>
      <c r="L262" s="820" t="s">
        <v>242</v>
      </c>
      <c r="M262" s="666">
        <v>5400</v>
      </c>
    </row>
    <row r="263" spans="1:13" ht="18" customHeight="1">
      <c r="A263" s="706"/>
      <c r="B263" s="707"/>
      <c r="C263" s="707"/>
      <c r="D263" s="742"/>
      <c r="E263" s="742"/>
      <c r="F263" s="707"/>
      <c r="G263" s="707"/>
      <c r="H263" s="683"/>
      <c r="I263" s="1893"/>
      <c r="J263" s="590"/>
      <c r="K263" s="806" t="s">
        <v>1191</v>
      </c>
      <c r="L263" s="820" t="s">
        <v>242</v>
      </c>
      <c r="M263" s="666">
        <v>5520</v>
      </c>
    </row>
    <row r="264" spans="1:13" ht="18" customHeight="1">
      <c r="A264" s="706"/>
      <c r="B264" s="707"/>
      <c r="C264" s="707"/>
      <c r="D264" s="742"/>
      <c r="E264" s="742"/>
      <c r="F264" s="707"/>
      <c r="G264" s="707"/>
      <c r="H264" s="1871"/>
      <c r="I264" s="1888"/>
      <c r="J264" s="595"/>
      <c r="K264" s="908" t="s">
        <v>1192</v>
      </c>
      <c r="L264" s="907" t="s">
        <v>242</v>
      </c>
      <c r="M264" s="1078">
        <v>660</v>
      </c>
    </row>
    <row r="265" spans="1:13" ht="18" customHeight="1">
      <c r="A265" s="706"/>
      <c r="B265" s="707"/>
      <c r="C265" s="707"/>
      <c r="D265" s="742"/>
      <c r="E265" s="742"/>
      <c r="F265" s="707"/>
      <c r="G265" s="743" t="s">
        <v>991</v>
      </c>
      <c r="H265" s="683">
        <f>M265</f>
        <v>12240</v>
      </c>
      <c r="I265" s="1893">
        <v>11760</v>
      </c>
      <c r="J265" s="590">
        <f>H265-I265</f>
        <v>480</v>
      </c>
      <c r="K265" s="886" t="s">
        <v>991</v>
      </c>
      <c r="L265" s="820"/>
      <c r="M265" s="1824">
        <f>M266+M267+M268</f>
        <v>12240</v>
      </c>
    </row>
    <row r="266" spans="1:13" ht="18" customHeight="1">
      <c r="A266" s="706"/>
      <c r="B266" s="707"/>
      <c r="C266" s="707"/>
      <c r="D266" s="742"/>
      <c r="E266" s="742"/>
      <c r="F266" s="707"/>
      <c r="G266" s="707"/>
      <c r="H266" s="683"/>
      <c r="I266" s="1893"/>
      <c r="J266" s="590"/>
      <c r="K266" s="879" t="s">
        <v>1193</v>
      </c>
      <c r="L266" s="820" t="s">
        <v>242</v>
      </c>
      <c r="M266" s="666">
        <v>1800</v>
      </c>
    </row>
    <row r="267" spans="1:13" ht="18" customHeight="1">
      <c r="A267" s="706"/>
      <c r="B267" s="707"/>
      <c r="C267" s="707"/>
      <c r="D267" s="742"/>
      <c r="E267" s="742"/>
      <c r="F267" s="707"/>
      <c r="G267" s="707"/>
      <c r="H267" s="683"/>
      <c r="I267" s="1893"/>
      <c r="J267" s="590"/>
      <c r="K267" s="884" t="s">
        <v>1194</v>
      </c>
      <c r="L267" s="820" t="s">
        <v>242</v>
      </c>
      <c r="M267" s="666">
        <v>9600</v>
      </c>
    </row>
    <row r="268" spans="1:13" ht="18" customHeight="1">
      <c r="A268" s="706"/>
      <c r="B268" s="707"/>
      <c r="C268" s="707"/>
      <c r="D268" s="742"/>
      <c r="E268" s="742"/>
      <c r="F268" s="707"/>
      <c r="G268" s="707"/>
      <c r="H268" s="1871"/>
      <c r="I268" s="1888"/>
      <c r="J268" s="595"/>
      <c r="K268" s="900" t="s">
        <v>1195</v>
      </c>
      <c r="L268" s="907" t="s">
        <v>242</v>
      </c>
      <c r="M268" s="1078">
        <v>840</v>
      </c>
    </row>
    <row r="269" spans="1:13" ht="18" customHeight="1">
      <c r="A269" s="706"/>
      <c r="B269" s="707"/>
      <c r="C269" s="707"/>
      <c r="D269" s="742"/>
      <c r="E269" s="742"/>
      <c r="F269" s="707"/>
      <c r="G269" s="743" t="s">
        <v>992</v>
      </c>
      <c r="H269" s="683">
        <f>M269</f>
        <v>7080</v>
      </c>
      <c r="I269" s="1893">
        <v>6540</v>
      </c>
      <c r="J269" s="590">
        <f>H269-I269</f>
        <v>540</v>
      </c>
      <c r="K269" s="886" t="s">
        <v>992</v>
      </c>
      <c r="L269" s="820"/>
      <c r="M269" s="1824">
        <f>M270+M271</f>
        <v>7080</v>
      </c>
    </row>
    <row r="270" spans="1:13" ht="18" customHeight="1">
      <c r="A270" s="706"/>
      <c r="B270" s="707"/>
      <c r="C270" s="707"/>
      <c r="D270" s="742"/>
      <c r="E270" s="742"/>
      <c r="F270" s="707"/>
      <c r="G270" s="707"/>
      <c r="H270" s="683"/>
      <c r="I270" s="1893"/>
      <c r="J270" s="590"/>
      <c r="K270" s="884" t="s">
        <v>1196</v>
      </c>
      <c r="L270" s="820" t="s">
        <v>464</v>
      </c>
      <c r="M270" s="666">
        <v>1080</v>
      </c>
    </row>
    <row r="271" spans="1:13" ht="18" customHeight="1">
      <c r="A271" s="706"/>
      <c r="B271" s="707"/>
      <c r="C271" s="707"/>
      <c r="D271" s="742"/>
      <c r="E271" s="742"/>
      <c r="F271" s="707"/>
      <c r="G271" s="707"/>
      <c r="H271" s="683"/>
      <c r="I271" s="1893"/>
      <c r="J271" s="590"/>
      <c r="K271" s="857" t="s">
        <v>1197</v>
      </c>
      <c r="L271" s="810"/>
      <c r="M271" s="666">
        <f>SUM(M272:M273)</f>
        <v>6000</v>
      </c>
    </row>
    <row r="272" spans="1:13" ht="18" customHeight="1">
      <c r="A272" s="706"/>
      <c r="B272" s="707"/>
      <c r="C272" s="707"/>
      <c r="D272" s="742"/>
      <c r="E272" s="742"/>
      <c r="F272" s="707"/>
      <c r="G272" s="707"/>
      <c r="H272" s="683"/>
      <c r="I272" s="1893"/>
      <c r="J272" s="590"/>
      <c r="K272" s="884" t="s">
        <v>1198</v>
      </c>
      <c r="L272" s="820" t="s">
        <v>464</v>
      </c>
      <c r="M272" s="666">
        <v>3000</v>
      </c>
    </row>
    <row r="273" spans="1:13" ht="18" customHeight="1">
      <c r="A273" s="706"/>
      <c r="B273" s="707"/>
      <c r="C273" s="707"/>
      <c r="D273" s="742"/>
      <c r="E273" s="742"/>
      <c r="F273" s="707"/>
      <c r="G273" s="752"/>
      <c r="H273" s="1871"/>
      <c r="I273" s="1888"/>
      <c r="J273" s="595"/>
      <c r="K273" s="885" t="s">
        <v>1199</v>
      </c>
      <c r="L273" s="821" t="s">
        <v>464</v>
      </c>
      <c r="M273" s="1078">
        <v>3000</v>
      </c>
    </row>
    <row r="274" spans="1:13" ht="18" customHeight="1">
      <c r="A274" s="706"/>
      <c r="B274" s="707"/>
      <c r="C274" s="707"/>
      <c r="D274" s="742"/>
      <c r="E274" s="742"/>
      <c r="F274" s="707"/>
      <c r="G274" s="707" t="s">
        <v>1005</v>
      </c>
      <c r="H274" s="683">
        <f>M274</f>
        <v>23628</v>
      </c>
      <c r="I274" s="1893">
        <v>46428</v>
      </c>
      <c r="J274" s="590">
        <f>H274-I274</f>
        <v>-22800</v>
      </c>
      <c r="K274" s="886" t="s">
        <v>411</v>
      </c>
      <c r="L274" s="820"/>
      <c r="M274" s="1824">
        <f>M275+M276+M277+M278+M279</f>
        <v>23628</v>
      </c>
    </row>
    <row r="275" spans="1:13" ht="18" customHeight="1">
      <c r="A275" s="706"/>
      <c r="B275" s="707"/>
      <c r="C275" s="707"/>
      <c r="D275" s="742"/>
      <c r="E275" s="742"/>
      <c r="F275" s="707"/>
      <c r="G275" s="707"/>
      <c r="H275" s="683"/>
      <c r="I275" s="1893"/>
      <c r="J275" s="590"/>
      <c r="K275" s="884" t="s">
        <v>1200</v>
      </c>
      <c r="L275" s="810" t="s">
        <v>242</v>
      </c>
      <c r="M275" s="666">
        <v>6000</v>
      </c>
    </row>
    <row r="276" spans="1:13" ht="18" customHeight="1">
      <c r="A276" s="706"/>
      <c r="B276" s="707"/>
      <c r="C276" s="707"/>
      <c r="D276" s="742"/>
      <c r="E276" s="742"/>
      <c r="F276" s="707"/>
      <c r="G276" s="707"/>
      <c r="H276" s="683"/>
      <c r="I276" s="1893"/>
      <c r="J276" s="590"/>
      <c r="K276" s="822" t="s">
        <v>1201</v>
      </c>
      <c r="L276" s="810" t="s">
        <v>242</v>
      </c>
      <c r="M276" s="666">
        <v>14400</v>
      </c>
    </row>
    <row r="277" spans="1:13" ht="18" customHeight="1">
      <c r="A277" s="706"/>
      <c r="B277" s="707"/>
      <c r="C277" s="707"/>
      <c r="D277" s="742"/>
      <c r="E277" s="742"/>
      <c r="F277" s="707"/>
      <c r="G277" s="707"/>
      <c r="H277" s="683"/>
      <c r="I277" s="1893"/>
      <c r="J277" s="590"/>
      <c r="K277" s="811" t="s">
        <v>1202</v>
      </c>
      <c r="L277" s="810" t="s">
        <v>242</v>
      </c>
      <c r="M277" s="666">
        <v>2400</v>
      </c>
    </row>
    <row r="278" spans="1:13" ht="18" customHeight="1">
      <c r="A278" s="706"/>
      <c r="B278" s="707"/>
      <c r="C278" s="707"/>
      <c r="D278" s="742"/>
      <c r="E278" s="742"/>
      <c r="F278" s="707"/>
      <c r="G278" s="707"/>
      <c r="H278" s="683"/>
      <c r="I278" s="1893"/>
      <c r="J278" s="590"/>
      <c r="K278" s="811" t="s">
        <v>1203</v>
      </c>
      <c r="L278" s="810" t="s">
        <v>242</v>
      </c>
      <c r="M278" s="666">
        <v>468</v>
      </c>
    </row>
    <row r="279" spans="1:13" ht="18" customHeight="1">
      <c r="A279" s="706"/>
      <c r="B279" s="707"/>
      <c r="C279" s="707"/>
      <c r="D279" s="742"/>
      <c r="E279" s="742"/>
      <c r="F279" s="707"/>
      <c r="G279" s="707"/>
      <c r="H279" s="1871"/>
      <c r="I279" s="1888"/>
      <c r="J279" s="595"/>
      <c r="K279" s="906" t="s">
        <v>1204</v>
      </c>
      <c r="L279" s="821" t="s">
        <v>242</v>
      </c>
      <c r="M279" s="1078">
        <v>360</v>
      </c>
    </row>
    <row r="280" spans="1:13" ht="18" customHeight="1">
      <c r="A280" s="706"/>
      <c r="B280" s="707"/>
      <c r="C280" s="707"/>
      <c r="D280" s="742"/>
      <c r="E280" s="742"/>
      <c r="F280" s="707"/>
      <c r="G280" s="743" t="s">
        <v>993</v>
      </c>
      <c r="H280" s="683">
        <f>M280</f>
        <v>1200</v>
      </c>
      <c r="I280" s="1893">
        <v>1440</v>
      </c>
      <c r="J280" s="590">
        <f>H280-I280</f>
        <v>-240</v>
      </c>
      <c r="K280" s="905" t="s">
        <v>993</v>
      </c>
      <c r="L280" s="810"/>
      <c r="M280" s="1824">
        <f>M281</f>
        <v>1200</v>
      </c>
    </row>
    <row r="281" spans="1:13" ht="18" customHeight="1">
      <c r="A281" s="706"/>
      <c r="B281" s="707"/>
      <c r="C281" s="707"/>
      <c r="D281" s="742"/>
      <c r="E281" s="742"/>
      <c r="F281" s="707"/>
      <c r="G281" s="707"/>
      <c r="H281" s="1871"/>
      <c r="I281" s="1888"/>
      <c r="J281" s="595"/>
      <c r="K281" s="901" t="s">
        <v>1205</v>
      </c>
      <c r="L281" s="821" t="s">
        <v>242</v>
      </c>
      <c r="M281" s="1078">
        <v>1200</v>
      </c>
    </row>
    <row r="282" spans="1:13" ht="18" customHeight="1">
      <c r="A282" s="706"/>
      <c r="B282" s="707"/>
      <c r="C282" s="707"/>
      <c r="D282" s="707"/>
      <c r="E282" s="707"/>
      <c r="F282" s="747" t="s">
        <v>994</v>
      </c>
      <c r="G282" s="748"/>
      <c r="H282" s="1871">
        <f>H283</f>
        <v>4440</v>
      </c>
      <c r="I282" s="1894">
        <v>6480</v>
      </c>
      <c r="J282" s="595">
        <f>H282-I282</f>
        <v>-2040</v>
      </c>
      <c r="K282" s="901"/>
      <c r="L282" s="821"/>
      <c r="M282" s="1078"/>
    </row>
    <row r="283" spans="1:13" ht="18" customHeight="1">
      <c r="A283" s="706"/>
      <c r="B283" s="707"/>
      <c r="C283" s="707"/>
      <c r="D283" s="707"/>
      <c r="E283" s="707"/>
      <c r="F283" s="746"/>
      <c r="G283" s="743" t="s">
        <v>995</v>
      </c>
      <c r="H283" s="683">
        <f>M283</f>
        <v>4440</v>
      </c>
      <c r="I283" s="1893">
        <v>6480</v>
      </c>
      <c r="J283" s="590">
        <f>H283-I283</f>
        <v>-2040</v>
      </c>
      <c r="K283" s="825" t="s">
        <v>995</v>
      </c>
      <c r="L283" s="820"/>
      <c r="M283" s="1824">
        <f>M284+M285</f>
        <v>4440</v>
      </c>
    </row>
    <row r="284" spans="1:13" ht="18" customHeight="1">
      <c r="A284" s="706"/>
      <c r="B284" s="707"/>
      <c r="C284" s="707"/>
      <c r="D284" s="707"/>
      <c r="E284" s="707"/>
      <c r="F284" s="746"/>
      <c r="G284" s="707"/>
      <c r="H284" s="683"/>
      <c r="I284" s="1893"/>
      <c r="J284" s="590"/>
      <c r="K284" s="857" t="s">
        <v>1206</v>
      </c>
      <c r="L284" s="779" t="s">
        <v>242</v>
      </c>
      <c r="M284" s="666">
        <v>2400</v>
      </c>
    </row>
    <row r="285" spans="1:13" ht="18" customHeight="1">
      <c r="A285" s="706"/>
      <c r="B285" s="707"/>
      <c r="C285" s="707"/>
      <c r="D285" s="707"/>
      <c r="E285" s="707"/>
      <c r="F285" s="753"/>
      <c r="G285" s="752"/>
      <c r="H285" s="1871"/>
      <c r="I285" s="1888"/>
      <c r="J285" s="595"/>
      <c r="K285" s="885" t="s">
        <v>1207</v>
      </c>
      <c r="L285" s="826" t="s">
        <v>242</v>
      </c>
      <c r="M285" s="1078">
        <v>2040</v>
      </c>
    </row>
    <row r="286" spans="1:13" ht="18" customHeight="1">
      <c r="A286" s="340"/>
      <c r="B286" s="344"/>
      <c r="C286" s="344"/>
      <c r="D286" s="344"/>
      <c r="E286" s="344"/>
      <c r="F286" s="2356" t="s">
        <v>434</v>
      </c>
      <c r="G286" s="2356"/>
      <c r="H286" s="1871">
        <f>H287</f>
        <v>0</v>
      </c>
      <c r="I286" s="1897">
        <v>0</v>
      </c>
      <c r="J286" s="595">
        <f>H286-I286</f>
        <v>0</v>
      </c>
      <c r="K286" s="903"/>
      <c r="L286" s="904"/>
      <c r="M286" s="1078"/>
    </row>
    <row r="287" spans="1:13" ht="18" customHeight="1">
      <c r="A287" s="340"/>
      <c r="B287" s="344"/>
      <c r="C287" s="344"/>
      <c r="D287" s="344"/>
      <c r="E287" s="344"/>
      <c r="F287" s="2049"/>
      <c r="G287" s="346" t="s">
        <v>1006</v>
      </c>
      <c r="H287" s="683">
        <f>M287</f>
        <v>0</v>
      </c>
      <c r="I287" s="1898">
        <v>0</v>
      </c>
      <c r="J287" s="590">
        <f>H287-I287</f>
        <v>0</v>
      </c>
      <c r="K287" s="482" t="s">
        <v>436</v>
      </c>
      <c r="L287" s="434"/>
      <c r="M287" s="921">
        <v>0</v>
      </c>
    </row>
    <row r="288" spans="1:13" ht="18" customHeight="1">
      <c r="A288" s="340"/>
      <c r="B288" s="344"/>
      <c r="C288" s="344"/>
      <c r="D288" s="344"/>
      <c r="E288" s="344"/>
      <c r="F288" s="2049"/>
      <c r="G288" s="344"/>
      <c r="H288" s="683"/>
      <c r="I288" s="1898"/>
      <c r="J288" s="590"/>
      <c r="K288" s="433"/>
      <c r="L288" s="434"/>
      <c r="M288" s="666"/>
    </row>
    <row r="289" spans="1:14" ht="18" customHeight="1">
      <c r="A289" s="706"/>
      <c r="B289" s="707"/>
      <c r="C289" s="707"/>
      <c r="D289" s="707"/>
      <c r="E289" s="707"/>
      <c r="F289" s="757" t="s">
        <v>997</v>
      </c>
      <c r="G289" s="758"/>
      <c r="H289" s="1859">
        <f>H290</f>
        <v>2400</v>
      </c>
      <c r="I289" s="1894">
        <v>2400</v>
      </c>
      <c r="J289" s="597">
        <f>H289-I289</f>
        <v>0</v>
      </c>
      <c r="K289" s="823"/>
      <c r="L289" s="824"/>
      <c r="M289" s="668"/>
    </row>
    <row r="290" spans="1:14" ht="18" customHeight="1">
      <c r="A290" s="706"/>
      <c r="B290" s="707"/>
      <c r="C290" s="707"/>
      <c r="D290" s="707"/>
      <c r="E290" s="707"/>
      <c r="F290" s="756"/>
      <c r="G290" s="749" t="s">
        <v>998</v>
      </c>
      <c r="H290" s="683">
        <f>M290</f>
        <v>2400</v>
      </c>
      <c r="I290" s="1891">
        <v>2400</v>
      </c>
      <c r="J290" s="590">
        <f>H290-I290</f>
        <v>0</v>
      </c>
      <c r="K290" s="902" t="s">
        <v>998</v>
      </c>
      <c r="L290" s="810"/>
      <c r="M290" s="1824">
        <f>M291</f>
        <v>2400</v>
      </c>
    </row>
    <row r="291" spans="1:14" ht="18" customHeight="1">
      <c r="A291" s="711"/>
      <c r="B291" s="707"/>
      <c r="C291" s="707"/>
      <c r="D291" s="707"/>
      <c r="E291" s="707"/>
      <c r="F291" s="756"/>
      <c r="G291" s="750"/>
      <c r="H291" s="683"/>
      <c r="I291" s="1891"/>
      <c r="J291" s="590"/>
      <c r="K291" s="819" t="s">
        <v>1208</v>
      </c>
      <c r="L291" s="810" t="s">
        <v>242</v>
      </c>
      <c r="M291" s="666">
        <v>2400</v>
      </c>
    </row>
    <row r="292" spans="1:14" ht="18" customHeight="1">
      <c r="A292" s="711"/>
      <c r="B292" s="707"/>
      <c r="C292" s="707"/>
      <c r="D292" s="746"/>
      <c r="E292" s="760" t="s">
        <v>999</v>
      </c>
      <c r="F292" s="761"/>
      <c r="G292" s="758"/>
      <c r="H292" s="1859">
        <f>H293</f>
        <v>1000</v>
      </c>
      <c r="I292" s="1894">
        <v>0</v>
      </c>
      <c r="J292" s="597">
        <f>H292-I292</f>
        <v>1000</v>
      </c>
      <c r="K292" s="823"/>
      <c r="L292" s="824"/>
      <c r="M292" s="668"/>
      <c r="N292" s="25"/>
    </row>
    <row r="293" spans="1:14" ht="18" customHeight="1">
      <c r="A293" s="711"/>
      <c r="B293" s="707"/>
      <c r="C293" s="707"/>
      <c r="D293" s="707"/>
      <c r="E293" s="743"/>
      <c r="F293" s="761" t="s">
        <v>1000</v>
      </c>
      <c r="G293" s="758"/>
      <c r="H293" s="1871">
        <f>H294</f>
        <v>1000</v>
      </c>
      <c r="I293" s="1896">
        <v>0</v>
      </c>
      <c r="J293" s="595">
        <f t="shared" ref="J293:J294" si="12">H293-I293</f>
        <v>1000</v>
      </c>
      <c r="K293" s="901"/>
      <c r="L293" s="821"/>
      <c r="M293" s="1078"/>
    </row>
    <row r="294" spans="1:14" ht="18" customHeight="1">
      <c r="A294" s="711"/>
      <c r="B294" s="707"/>
      <c r="C294" s="707"/>
      <c r="D294" s="707"/>
      <c r="E294" s="707"/>
      <c r="F294" s="749"/>
      <c r="G294" s="749" t="s">
        <v>1001</v>
      </c>
      <c r="H294" s="683">
        <f>M294</f>
        <v>1000</v>
      </c>
      <c r="I294" s="1891">
        <v>0</v>
      </c>
      <c r="J294" s="590">
        <f t="shared" si="12"/>
        <v>1000</v>
      </c>
      <c r="K294" s="825" t="s">
        <v>1001</v>
      </c>
      <c r="L294" s="810"/>
      <c r="M294" s="1824">
        <f>M295</f>
        <v>1000</v>
      </c>
    </row>
    <row r="295" spans="1:14" ht="18" customHeight="1">
      <c r="A295" s="711"/>
      <c r="B295" s="707"/>
      <c r="C295" s="707"/>
      <c r="D295" s="752"/>
      <c r="E295" s="752"/>
      <c r="F295" s="759"/>
      <c r="G295" s="759"/>
      <c r="H295" s="1871"/>
      <c r="I295" s="1896"/>
      <c r="J295" s="595"/>
      <c r="K295" s="900" t="s">
        <v>1209</v>
      </c>
      <c r="L295" s="821" t="s">
        <v>242</v>
      </c>
      <c r="M295" s="1078">
        <v>1000</v>
      </c>
    </row>
    <row r="296" spans="1:14" ht="18" customHeight="1">
      <c r="A296" s="340"/>
      <c r="B296" s="344"/>
      <c r="C296" s="344"/>
      <c r="D296" s="317" t="s">
        <v>1007</v>
      </c>
      <c r="E296" s="342"/>
      <c r="F296" s="342"/>
      <c r="G296" s="343"/>
      <c r="H296" s="684">
        <f>H297</f>
        <v>14206</v>
      </c>
      <c r="I296" s="1899">
        <v>15699</v>
      </c>
      <c r="J296" s="607">
        <f>H296-I296</f>
        <v>-1493</v>
      </c>
      <c r="K296" s="435"/>
      <c r="L296" s="838"/>
      <c r="M296" s="666"/>
    </row>
    <row r="297" spans="1:14" ht="18" customHeight="1">
      <c r="A297" s="340"/>
      <c r="B297" s="344"/>
      <c r="C297" s="347"/>
      <c r="D297" s="348"/>
      <c r="E297" s="341" t="s">
        <v>987</v>
      </c>
      <c r="F297" s="342"/>
      <c r="G297" s="343"/>
      <c r="H297" s="1859">
        <f>H298</f>
        <v>14206</v>
      </c>
      <c r="I297" s="1900">
        <v>15699</v>
      </c>
      <c r="J297" s="597">
        <f t="shared" ref="J297:J299" si="13">H297-I297</f>
        <v>-1493</v>
      </c>
      <c r="K297" s="828"/>
      <c r="L297" s="829"/>
      <c r="M297" s="668"/>
      <c r="N297" s="25"/>
    </row>
    <row r="298" spans="1:14" ht="18" customHeight="1">
      <c r="A298" s="706"/>
      <c r="B298" s="707"/>
      <c r="C298" s="707"/>
      <c r="D298" s="707"/>
      <c r="E298" s="707"/>
      <c r="F298" s="757" t="s">
        <v>1002</v>
      </c>
      <c r="G298" s="758"/>
      <c r="H298" s="1871">
        <f>H299</f>
        <v>14206</v>
      </c>
      <c r="I298" s="1896">
        <v>15699</v>
      </c>
      <c r="J298" s="595">
        <f t="shared" si="13"/>
        <v>-1493</v>
      </c>
      <c r="K298" s="898"/>
      <c r="L298" s="899"/>
      <c r="M298" s="1078"/>
    </row>
    <row r="299" spans="1:14" ht="18" customHeight="1">
      <c r="A299" s="706"/>
      <c r="B299" s="707"/>
      <c r="C299" s="742"/>
      <c r="D299" s="707"/>
      <c r="E299" s="707"/>
      <c r="F299" s="756"/>
      <c r="G299" s="749" t="s">
        <v>418</v>
      </c>
      <c r="H299" s="683">
        <f>M299</f>
        <v>14206</v>
      </c>
      <c r="I299" s="1891">
        <v>15699</v>
      </c>
      <c r="J299" s="590">
        <f t="shared" si="13"/>
        <v>-1493</v>
      </c>
      <c r="K299" s="888" t="s">
        <v>418</v>
      </c>
      <c r="L299" s="830"/>
      <c r="M299" s="1824">
        <f>M301+M302+M303</f>
        <v>14206</v>
      </c>
    </row>
    <row r="300" spans="1:14" ht="18" customHeight="1">
      <c r="A300" s="706"/>
      <c r="B300" s="707"/>
      <c r="C300" s="742"/>
      <c r="D300" s="742"/>
      <c r="E300" s="742"/>
      <c r="F300" s="755"/>
      <c r="G300" s="755"/>
      <c r="H300" s="683"/>
      <c r="I300" s="1891"/>
      <c r="J300" s="590"/>
      <c r="K300" s="819" t="s">
        <v>1210</v>
      </c>
      <c r="L300" s="830"/>
      <c r="M300" s="666"/>
    </row>
    <row r="301" spans="1:14" ht="18" customHeight="1">
      <c r="A301" s="706"/>
      <c r="B301" s="707"/>
      <c r="C301" s="742"/>
      <c r="D301" s="742"/>
      <c r="E301" s="742"/>
      <c r="F301" s="755"/>
      <c r="G301" s="755"/>
      <c r="H301" s="683"/>
      <c r="I301" s="1891"/>
      <c r="J301" s="590"/>
      <c r="K301" s="883" t="s">
        <v>1211</v>
      </c>
      <c r="L301" s="830" t="s">
        <v>1185</v>
      </c>
      <c r="M301" s="666">
        <v>12506</v>
      </c>
    </row>
    <row r="302" spans="1:14" ht="18" customHeight="1">
      <c r="A302" s="706"/>
      <c r="B302" s="707"/>
      <c r="C302" s="742"/>
      <c r="D302" s="742"/>
      <c r="E302" s="742"/>
      <c r="F302" s="755"/>
      <c r="G302" s="755"/>
      <c r="H302" s="683"/>
      <c r="I302" s="1891"/>
      <c r="J302" s="590"/>
      <c r="K302" s="883" t="s">
        <v>1212</v>
      </c>
      <c r="L302" s="830" t="s">
        <v>1185</v>
      </c>
      <c r="M302" s="666">
        <v>1000</v>
      </c>
    </row>
    <row r="303" spans="1:14" ht="18" customHeight="1" thickBot="1">
      <c r="A303" s="706"/>
      <c r="B303" s="762"/>
      <c r="C303" s="763"/>
      <c r="D303" s="763"/>
      <c r="E303" s="763"/>
      <c r="F303" s="764"/>
      <c r="G303" s="755"/>
      <c r="H303" s="1901"/>
      <c r="I303" s="1902"/>
      <c r="J303" s="599"/>
      <c r="K303" s="896" t="s">
        <v>1213</v>
      </c>
      <c r="L303" s="897" t="s">
        <v>1185</v>
      </c>
      <c r="M303" s="1077">
        <v>700</v>
      </c>
    </row>
    <row r="304" spans="1:14" ht="18" customHeight="1">
      <c r="A304" s="700" t="s">
        <v>132</v>
      </c>
      <c r="B304" s="701"/>
      <c r="C304" s="338"/>
      <c r="D304" s="338"/>
      <c r="E304" s="338"/>
      <c r="F304" s="338"/>
      <c r="G304" s="339"/>
      <c r="H304" s="1879">
        <f>H305</f>
        <v>37600</v>
      </c>
      <c r="I304" s="1880">
        <v>166750</v>
      </c>
      <c r="J304" s="667">
        <f>H304-I304</f>
        <v>-129150</v>
      </c>
      <c r="K304" s="423"/>
      <c r="L304" s="424"/>
      <c r="M304" s="1078"/>
    </row>
    <row r="305" spans="1:13" ht="18" customHeight="1">
      <c r="A305" s="765"/>
      <c r="B305" s="341" t="s">
        <v>1008</v>
      </c>
      <c r="C305" s="341"/>
      <c r="D305" s="342"/>
      <c r="E305" s="342"/>
      <c r="F305" s="342"/>
      <c r="G305" s="343"/>
      <c r="H305" s="1879">
        <f>H306+H312+H319</f>
        <v>37600</v>
      </c>
      <c r="I305" s="1880">
        <v>166750</v>
      </c>
      <c r="J305" s="667">
        <f t="shared" ref="J305:J310" si="14">H305-I305</f>
        <v>-129150</v>
      </c>
      <c r="K305" s="423"/>
      <c r="L305" s="424"/>
      <c r="M305" s="1078"/>
    </row>
    <row r="306" spans="1:13" ht="18" customHeight="1">
      <c r="A306" s="340"/>
      <c r="B306" s="346"/>
      <c r="C306" s="317" t="s">
        <v>276</v>
      </c>
      <c r="D306" s="342"/>
      <c r="E306" s="342"/>
      <c r="F306" s="342"/>
      <c r="G306" s="343"/>
      <c r="H306" s="1879">
        <f>H307</f>
        <v>30000</v>
      </c>
      <c r="I306" s="1880">
        <v>150000</v>
      </c>
      <c r="J306" s="667">
        <f t="shared" si="14"/>
        <v>-120000</v>
      </c>
      <c r="K306" s="423"/>
      <c r="L306" s="424"/>
      <c r="M306" s="1078"/>
    </row>
    <row r="307" spans="1:13" ht="18" customHeight="1">
      <c r="A307" s="340"/>
      <c r="B307" s="344"/>
      <c r="C307" s="346"/>
      <c r="D307" s="317" t="s">
        <v>366</v>
      </c>
      <c r="E307" s="342"/>
      <c r="F307" s="342"/>
      <c r="G307" s="343"/>
      <c r="H307" s="684">
        <f>H308</f>
        <v>30000</v>
      </c>
      <c r="I307" s="1878">
        <v>150000</v>
      </c>
      <c r="J307" s="607">
        <f t="shared" si="14"/>
        <v>-120000</v>
      </c>
      <c r="K307" s="425"/>
      <c r="L307" s="777"/>
      <c r="M307" s="666"/>
    </row>
    <row r="308" spans="1:13" ht="18" customHeight="1">
      <c r="A308" s="340"/>
      <c r="B308" s="344"/>
      <c r="C308" s="347"/>
      <c r="D308" s="348"/>
      <c r="E308" s="341" t="s">
        <v>454</v>
      </c>
      <c r="F308" s="342"/>
      <c r="G308" s="343"/>
      <c r="H308" s="1856">
        <f>H309</f>
        <v>30000</v>
      </c>
      <c r="I308" s="1857">
        <v>150000</v>
      </c>
      <c r="J308" s="601">
        <f t="shared" si="14"/>
        <v>-120000</v>
      </c>
      <c r="K308" s="427"/>
      <c r="L308" s="428"/>
      <c r="M308" s="668"/>
    </row>
    <row r="309" spans="1:13" ht="18" customHeight="1">
      <c r="A309" s="711"/>
      <c r="B309" s="766"/>
      <c r="C309" s="767"/>
      <c r="D309" s="767"/>
      <c r="E309" s="768"/>
      <c r="F309" s="769" t="s">
        <v>1009</v>
      </c>
      <c r="G309" s="770"/>
      <c r="H309" s="1871">
        <f>H310</f>
        <v>30000</v>
      </c>
      <c r="I309" s="1888">
        <v>150000</v>
      </c>
      <c r="J309" s="595">
        <f t="shared" si="14"/>
        <v>-120000</v>
      </c>
      <c r="K309" s="893"/>
      <c r="L309" s="894"/>
      <c r="M309" s="1078"/>
    </row>
    <row r="310" spans="1:13" ht="18" customHeight="1">
      <c r="A310" s="711"/>
      <c r="B310" s="771"/>
      <c r="C310" s="771"/>
      <c r="D310" s="771"/>
      <c r="E310" s="771"/>
      <c r="F310" s="771"/>
      <c r="G310" s="772" t="s">
        <v>1010</v>
      </c>
      <c r="H310" s="683">
        <f>M310</f>
        <v>30000</v>
      </c>
      <c r="I310" s="1893">
        <v>150000</v>
      </c>
      <c r="J310" s="590">
        <f t="shared" si="14"/>
        <v>-120000</v>
      </c>
      <c r="K310" s="895" t="s">
        <v>1214</v>
      </c>
      <c r="L310" s="836"/>
      <c r="M310" s="1824">
        <f>M311</f>
        <v>30000</v>
      </c>
    </row>
    <row r="311" spans="1:13" ht="18" customHeight="1">
      <c r="A311" s="711"/>
      <c r="B311" s="771"/>
      <c r="C311" s="771"/>
      <c r="D311" s="771"/>
      <c r="E311" s="771"/>
      <c r="F311" s="771"/>
      <c r="G311" s="771"/>
      <c r="H311" s="683"/>
      <c r="I311" s="1893"/>
      <c r="J311" s="590"/>
      <c r="K311" s="834" t="s">
        <v>1215</v>
      </c>
      <c r="L311" s="835" t="s">
        <v>242</v>
      </c>
      <c r="M311" s="666">
        <v>30000</v>
      </c>
    </row>
    <row r="312" spans="1:13" ht="18" customHeight="1">
      <c r="A312" s="340"/>
      <c r="B312" s="344"/>
      <c r="C312" s="317" t="s">
        <v>299</v>
      </c>
      <c r="D312" s="342"/>
      <c r="E312" s="342"/>
      <c r="F312" s="342"/>
      <c r="G312" s="343"/>
      <c r="H312" s="1856">
        <f>H313</f>
        <v>2600</v>
      </c>
      <c r="I312" s="1857">
        <v>1750</v>
      </c>
      <c r="J312" s="601">
        <f>H312-I312</f>
        <v>850</v>
      </c>
      <c r="K312" s="540"/>
      <c r="L312" s="541"/>
      <c r="M312" s="668"/>
    </row>
    <row r="313" spans="1:13" ht="18" customHeight="1">
      <c r="A313" s="340"/>
      <c r="B313" s="344"/>
      <c r="C313" s="346"/>
      <c r="D313" s="317" t="s">
        <v>368</v>
      </c>
      <c r="E313" s="342"/>
      <c r="F313" s="342"/>
      <c r="G313" s="343"/>
      <c r="H313" s="1879">
        <f>H314</f>
        <v>2600</v>
      </c>
      <c r="I313" s="1880">
        <v>1750</v>
      </c>
      <c r="J313" s="667">
        <f t="shared" ref="J313:J316" si="15">H313-I313</f>
        <v>850</v>
      </c>
      <c r="K313" s="539"/>
      <c r="L313" s="424"/>
      <c r="M313" s="1078"/>
    </row>
    <row r="314" spans="1:13" ht="18" customHeight="1">
      <c r="A314" s="340"/>
      <c r="B314" s="344"/>
      <c r="C314" s="347"/>
      <c r="D314" s="348"/>
      <c r="E314" s="341" t="s">
        <v>454</v>
      </c>
      <c r="F314" s="342"/>
      <c r="G314" s="343"/>
      <c r="H314" s="1879">
        <f>H315</f>
        <v>2600</v>
      </c>
      <c r="I314" s="1880">
        <v>1750</v>
      </c>
      <c r="J314" s="667">
        <f t="shared" si="15"/>
        <v>850</v>
      </c>
      <c r="K314" s="535"/>
      <c r="L314" s="853"/>
      <c r="M314" s="1078"/>
    </row>
    <row r="315" spans="1:13" ht="18" customHeight="1">
      <c r="A315" s="711"/>
      <c r="B315" s="766"/>
      <c r="C315" s="767"/>
      <c r="D315" s="767"/>
      <c r="E315" s="768"/>
      <c r="F315" s="769" t="s">
        <v>1009</v>
      </c>
      <c r="G315" s="770"/>
      <c r="H315" s="1871">
        <f>H316</f>
        <v>2600</v>
      </c>
      <c r="I315" s="1888">
        <v>1750</v>
      </c>
      <c r="J315" s="595">
        <f t="shared" si="15"/>
        <v>850</v>
      </c>
      <c r="K315" s="893"/>
      <c r="L315" s="894"/>
      <c r="M315" s="1078"/>
    </row>
    <row r="316" spans="1:13" ht="18" customHeight="1">
      <c r="A316" s="711"/>
      <c r="B316" s="766"/>
      <c r="C316" s="767"/>
      <c r="D316" s="767"/>
      <c r="E316" s="767"/>
      <c r="F316" s="772"/>
      <c r="G316" s="772" t="s">
        <v>1010</v>
      </c>
      <c r="H316" s="683">
        <f>M316</f>
        <v>2600</v>
      </c>
      <c r="I316" s="1893">
        <v>1750</v>
      </c>
      <c r="J316" s="590">
        <f t="shared" si="15"/>
        <v>850</v>
      </c>
      <c r="K316" s="895" t="s">
        <v>1216</v>
      </c>
      <c r="L316" s="836"/>
      <c r="M316" s="1824">
        <f>M317+M318</f>
        <v>2600</v>
      </c>
    </row>
    <row r="317" spans="1:13" ht="18" customHeight="1">
      <c r="A317" s="711"/>
      <c r="B317" s="766"/>
      <c r="C317" s="767"/>
      <c r="D317" s="767"/>
      <c r="E317" s="767"/>
      <c r="F317" s="771"/>
      <c r="G317" s="771"/>
      <c r="H317" s="683"/>
      <c r="I317" s="1893"/>
      <c r="J317" s="590"/>
      <c r="K317" s="890" t="s">
        <v>1217</v>
      </c>
      <c r="L317" s="836" t="s">
        <v>464</v>
      </c>
      <c r="M317" s="666">
        <v>2000</v>
      </c>
    </row>
    <row r="318" spans="1:13" ht="18" customHeight="1">
      <c r="A318" s="711"/>
      <c r="B318" s="766"/>
      <c r="C318" s="773"/>
      <c r="D318" s="773"/>
      <c r="E318" s="773"/>
      <c r="F318" s="773"/>
      <c r="G318" s="773"/>
      <c r="H318" s="1871"/>
      <c r="I318" s="1888"/>
      <c r="J318" s="595"/>
      <c r="K318" s="891" t="s">
        <v>1218</v>
      </c>
      <c r="L318" s="892" t="s">
        <v>464</v>
      </c>
      <c r="M318" s="1078">
        <v>600</v>
      </c>
    </row>
    <row r="319" spans="1:13" ht="18" customHeight="1">
      <c r="A319" s="340"/>
      <c r="B319" s="344"/>
      <c r="C319" s="317" t="s">
        <v>303</v>
      </c>
      <c r="D319" s="342"/>
      <c r="E319" s="342"/>
      <c r="F319" s="342"/>
      <c r="G319" s="343"/>
      <c r="H319" s="1856">
        <f>H320</f>
        <v>5000</v>
      </c>
      <c r="I319" s="1857">
        <v>15000</v>
      </c>
      <c r="J319" s="601">
        <f>H319-I319</f>
        <v>-10000</v>
      </c>
      <c r="K319" s="837"/>
      <c r="L319" s="827"/>
      <c r="M319" s="668"/>
    </row>
    <row r="320" spans="1:13" ht="18" customHeight="1">
      <c r="A320" s="340"/>
      <c r="B320" s="344"/>
      <c r="C320" s="346"/>
      <c r="D320" s="317" t="s">
        <v>369</v>
      </c>
      <c r="E320" s="342"/>
      <c r="F320" s="342"/>
      <c r="G320" s="343"/>
      <c r="H320" s="1856">
        <f>H321</f>
        <v>5000</v>
      </c>
      <c r="I320" s="1857">
        <v>15000</v>
      </c>
      <c r="J320" s="601">
        <f t="shared" ref="J320:J323" si="16">H320-I320</f>
        <v>-10000</v>
      </c>
      <c r="K320" s="887"/>
      <c r="L320" s="827"/>
      <c r="M320" s="668"/>
    </row>
    <row r="321" spans="1:14" ht="18" customHeight="1">
      <c r="A321" s="340"/>
      <c r="B321" s="344"/>
      <c r="C321" s="347"/>
      <c r="D321" s="348"/>
      <c r="E321" s="341" t="s">
        <v>454</v>
      </c>
      <c r="F321" s="342"/>
      <c r="G321" s="343"/>
      <c r="H321" s="1856">
        <f>H322</f>
        <v>5000</v>
      </c>
      <c r="I321" s="1857">
        <v>15000</v>
      </c>
      <c r="J321" s="601">
        <f t="shared" si="16"/>
        <v>-10000</v>
      </c>
      <c r="K321" s="828"/>
      <c r="L321" s="829"/>
      <c r="M321" s="668"/>
    </row>
    <row r="322" spans="1:14" ht="18" customHeight="1">
      <c r="A322" s="711"/>
      <c r="B322" s="766"/>
      <c r="C322" s="767"/>
      <c r="D322" s="767"/>
      <c r="E322" s="768"/>
      <c r="F322" s="769" t="s">
        <v>1009</v>
      </c>
      <c r="G322" s="770"/>
      <c r="H322" s="1859">
        <f>H323</f>
        <v>5000</v>
      </c>
      <c r="I322" s="1903">
        <v>15000</v>
      </c>
      <c r="J322" s="597">
        <f t="shared" si="16"/>
        <v>-10000</v>
      </c>
      <c r="K322" s="889"/>
      <c r="L322" s="833"/>
      <c r="M322" s="668"/>
      <c r="N322" s="25"/>
    </row>
    <row r="323" spans="1:14" ht="18" customHeight="1">
      <c r="A323" s="711"/>
      <c r="B323" s="766"/>
      <c r="C323" s="771"/>
      <c r="D323" s="771"/>
      <c r="E323" s="771"/>
      <c r="F323" s="772"/>
      <c r="G323" s="772" t="s">
        <v>1010</v>
      </c>
      <c r="H323" s="2169">
        <f>M323</f>
        <v>5000</v>
      </c>
      <c r="I323" s="2170">
        <v>15000</v>
      </c>
      <c r="J323" s="594">
        <f t="shared" si="16"/>
        <v>-10000</v>
      </c>
      <c r="K323" s="2171" t="s">
        <v>1219</v>
      </c>
      <c r="L323" s="2172"/>
      <c r="M323" s="1827">
        <f>M324</f>
        <v>5000</v>
      </c>
    </row>
    <row r="324" spans="1:14" ht="18" customHeight="1" thickBot="1">
      <c r="A324" s="844"/>
      <c r="B324" s="774"/>
      <c r="C324" s="775"/>
      <c r="D324" s="775"/>
      <c r="E324" s="775"/>
      <c r="F324" s="776"/>
      <c r="G324" s="775"/>
      <c r="H324" s="1904"/>
      <c r="I324" s="1905"/>
      <c r="J324" s="599"/>
      <c r="K324" s="2168" t="s">
        <v>1220</v>
      </c>
      <c r="L324" s="839" t="s">
        <v>242</v>
      </c>
      <c r="M324" s="1077">
        <v>5000</v>
      </c>
    </row>
    <row r="332" spans="1:14" ht="18" customHeight="1">
      <c r="J332" s="25"/>
    </row>
  </sheetData>
  <mergeCells count="21">
    <mergeCell ref="F142:G142"/>
    <mergeCell ref="F147:G147"/>
    <mergeCell ref="F286:G286"/>
    <mergeCell ref="F100:G100"/>
    <mergeCell ref="F106:G106"/>
    <mergeCell ref="F111:G111"/>
    <mergeCell ref="F117:G117"/>
    <mergeCell ref="F125:G125"/>
    <mergeCell ref="F137:G137"/>
    <mergeCell ref="K2:M3"/>
    <mergeCell ref="A4:G4"/>
    <mergeCell ref="F10:G10"/>
    <mergeCell ref="F25:G25"/>
    <mergeCell ref="F94:G94"/>
    <mergeCell ref="I2:I3"/>
    <mergeCell ref="J2:J3"/>
    <mergeCell ref="F98:G98"/>
    <mergeCell ref="A2:A3"/>
    <mergeCell ref="B2:D2"/>
    <mergeCell ref="E2:G2"/>
    <mergeCell ref="H2:H3"/>
  </mergeCells>
  <phoneticPr fontId="3" type="noConversion"/>
  <conditionalFormatting sqref="J2:J3">
    <cfRule type="containsText" dxfId="23" priority="1" operator="containsText" text="허하나로">
      <formula>NOT(ISERROR(SEARCH("허하나로",H1639)))</formula>
    </cfRule>
    <cfRule type="containsText" dxfId="22" priority="2" operator="containsText" text="한별">
      <formula>NOT(ISERROR(SEARCH("한별",H1639)))</formula>
    </cfRule>
    <cfRule type="containsText" dxfId="21" priority="3" operator="containsText" text="정홍조">
      <formula>NOT(ISERROR(SEARCH("정홍조",H1639)))</formula>
    </cfRule>
    <cfRule type="containsText" dxfId="20" priority="4" operator="containsText" text="김지윤">
      <formula>NOT(ISERROR(SEARCH("김지윤",H1639)))</formula>
    </cfRule>
    <cfRule type="containsText" dxfId="19" priority="5" operator="containsText" text="전준영">
      <formula>NOT(ISERROR(SEARCH("전준영",H1639)))</formula>
    </cfRule>
    <cfRule type="containsText" dxfId="18" priority="6" operator="containsText" text="차재성">
      <formula>NOT(ISERROR(SEARCH("차재성",H1639)))</formula>
    </cfRule>
  </conditionalFormatting>
  <pageMargins left="0.94488188976377951" right="0.78740157480314965" top="0.6692913385826772" bottom="0.98425196850393704" header="0.51181102362204722" footer="0.51181102362204722"/>
  <pageSetup paperSize="9" scale="67" orientation="landscape" r:id="rId1"/>
  <colBreaks count="1" manualBreakCount="1">
    <brk id="13" max="1048575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88DC7-729E-42F2-85D9-AE2579FA4538}">
  <dimension ref="A1:T284"/>
  <sheetViews>
    <sheetView topLeftCell="A259" zoomScaleNormal="100" workbookViewId="0">
      <selection activeCell="H260" activeCellId="11" sqref="H10 H70 H134 H143 H146 H152 H185 H192 H213 H220 H257 H260"/>
    </sheetView>
  </sheetViews>
  <sheetFormatPr defaultRowHeight="18" customHeight="1"/>
  <cols>
    <col min="1" max="6" width="3.875" customWidth="1"/>
    <col min="7" max="7" width="32.625" customWidth="1"/>
    <col min="8" max="10" width="14.625" customWidth="1"/>
    <col min="11" max="11" width="78.375" customWidth="1"/>
    <col min="12" max="12" width="3.625" customWidth="1"/>
    <col min="13" max="13" width="14.625" customWidth="1"/>
    <col min="14" max="14" width="17.625" bestFit="1" customWidth="1"/>
    <col min="15" max="15" width="21.25" bestFit="1" customWidth="1"/>
    <col min="16" max="16" width="17.125" bestFit="1" customWidth="1"/>
  </cols>
  <sheetData>
    <row r="1" spans="1:20" ht="18" customHeight="1" thickBot="1">
      <c r="A1" s="943" t="s">
        <v>1223</v>
      </c>
      <c r="B1" s="943"/>
      <c r="C1" s="943"/>
      <c r="D1" s="943"/>
      <c r="E1" s="943"/>
      <c r="F1" s="943"/>
      <c r="G1" s="943"/>
      <c r="H1" s="943"/>
      <c r="I1" s="944"/>
      <c r="J1" s="945"/>
      <c r="K1" s="946"/>
      <c r="L1" s="947"/>
      <c r="M1" s="948" t="s">
        <v>979</v>
      </c>
    </row>
    <row r="2" spans="1:20" ht="18" customHeight="1">
      <c r="A2" s="2378" t="s">
        <v>1224</v>
      </c>
      <c r="B2" s="2380" t="s">
        <v>388</v>
      </c>
      <c r="C2" s="2381"/>
      <c r="D2" s="2382"/>
      <c r="E2" s="2380" t="s">
        <v>389</v>
      </c>
      <c r="F2" s="2381"/>
      <c r="G2" s="2382"/>
      <c r="H2" s="2403" t="s">
        <v>390</v>
      </c>
      <c r="I2" s="2409" t="s">
        <v>391</v>
      </c>
      <c r="J2" s="2376" t="s">
        <v>392</v>
      </c>
      <c r="K2" s="2366" t="s">
        <v>393</v>
      </c>
      <c r="L2" s="2367"/>
      <c r="M2" s="2368"/>
    </row>
    <row r="3" spans="1:20" ht="18" customHeight="1" thickBot="1">
      <c r="A3" s="2379"/>
      <c r="B3" s="332" t="s">
        <v>394</v>
      </c>
      <c r="C3" s="332" t="s">
        <v>395</v>
      </c>
      <c r="D3" s="332" t="s">
        <v>396</v>
      </c>
      <c r="E3" s="332" t="s">
        <v>397</v>
      </c>
      <c r="F3" s="332" t="s">
        <v>398</v>
      </c>
      <c r="G3" s="332" t="s">
        <v>399</v>
      </c>
      <c r="H3" s="2404"/>
      <c r="I3" s="2410"/>
      <c r="J3" s="2377"/>
      <c r="K3" s="2369"/>
      <c r="L3" s="2370"/>
      <c r="M3" s="2371"/>
    </row>
    <row r="4" spans="1:20" ht="18" customHeight="1" thickBot="1">
      <c r="A4" s="2390" t="s">
        <v>982</v>
      </c>
      <c r="B4" s="2391"/>
      <c r="C4" s="2391"/>
      <c r="D4" s="2391"/>
      <c r="E4" s="2391"/>
      <c r="F4" s="2391"/>
      <c r="G4" s="2392"/>
      <c r="H4" s="1853">
        <f>H5+H263</f>
        <v>23281387</v>
      </c>
      <c r="I4" s="1853">
        <v>22347560</v>
      </c>
      <c r="J4" s="696">
        <f>H4-I4</f>
        <v>933827</v>
      </c>
      <c r="K4" s="698"/>
      <c r="L4" s="698"/>
      <c r="M4" s="699"/>
    </row>
    <row r="5" spans="1:20" ht="18" customHeight="1">
      <c r="A5" s="700" t="s">
        <v>131</v>
      </c>
      <c r="B5" s="701"/>
      <c r="C5" s="338"/>
      <c r="D5" s="338"/>
      <c r="E5" s="338"/>
      <c r="F5" s="338"/>
      <c r="G5" s="339"/>
      <c r="H5" s="684">
        <f>H6</f>
        <v>22653378</v>
      </c>
      <c r="I5" s="1880">
        <v>21640560</v>
      </c>
      <c r="J5" s="607">
        <f>H5-I5</f>
        <v>1012818</v>
      </c>
      <c r="K5" s="1064"/>
      <c r="L5" s="994"/>
      <c r="M5" s="254"/>
    </row>
    <row r="6" spans="1:20" ht="18" customHeight="1">
      <c r="A6" s="340"/>
      <c r="B6" s="341" t="s">
        <v>142</v>
      </c>
      <c r="C6" s="341"/>
      <c r="D6" s="342"/>
      <c r="E6" s="342"/>
      <c r="F6" s="342"/>
      <c r="G6" s="343"/>
      <c r="H6" s="1866">
        <f>H7+H217</f>
        <v>22653378</v>
      </c>
      <c r="I6" s="1880">
        <v>21640560</v>
      </c>
      <c r="J6" s="601">
        <f>H6-I6</f>
        <v>1012818</v>
      </c>
      <c r="K6" s="1190"/>
      <c r="L6" s="1191"/>
      <c r="M6" s="123"/>
    </row>
    <row r="7" spans="1:20" ht="18" customHeight="1">
      <c r="A7" s="340"/>
      <c r="B7" s="344"/>
      <c r="C7" s="388" t="s">
        <v>323</v>
      </c>
      <c r="D7" s="342"/>
      <c r="E7" s="342"/>
      <c r="F7" s="342"/>
      <c r="G7" s="343"/>
      <c r="H7" s="1866">
        <f>H8+H150+H183+H190</f>
        <v>22547435</v>
      </c>
      <c r="I7" s="1880">
        <v>21539757</v>
      </c>
      <c r="J7" s="601">
        <f t="shared" ref="J7:J11" si="0">H7-I7</f>
        <v>1007678</v>
      </c>
      <c r="K7" s="778"/>
      <c r="L7" s="779"/>
      <c r="M7" s="123"/>
    </row>
    <row r="8" spans="1:20" ht="18" customHeight="1" thickBot="1">
      <c r="A8" s="340"/>
      <c r="B8" s="344"/>
      <c r="C8" s="346"/>
      <c r="D8" s="388" t="s">
        <v>324</v>
      </c>
      <c r="E8" s="342"/>
      <c r="F8" s="342"/>
      <c r="G8" s="343"/>
      <c r="H8" s="1866">
        <f>H9+H69</f>
        <v>21322034</v>
      </c>
      <c r="I8" s="1858">
        <v>20452402</v>
      </c>
      <c r="J8" s="601">
        <f t="shared" si="0"/>
        <v>869632</v>
      </c>
      <c r="K8" s="1187"/>
      <c r="L8" s="1192"/>
      <c r="M8" s="29"/>
    </row>
    <row r="9" spans="1:20" ht="18" customHeight="1">
      <c r="A9" s="340"/>
      <c r="B9" s="344"/>
      <c r="C9" s="347"/>
      <c r="D9" s="348"/>
      <c r="E9" s="388" t="s">
        <v>984</v>
      </c>
      <c r="F9" s="342"/>
      <c r="G9" s="343"/>
      <c r="H9" s="1879">
        <f>H10</f>
        <v>19431579</v>
      </c>
      <c r="I9" s="1857">
        <v>18499480</v>
      </c>
      <c r="J9" s="601">
        <f t="shared" si="0"/>
        <v>932099</v>
      </c>
      <c r="K9" s="1187"/>
      <c r="L9" s="1192"/>
      <c r="M9" s="252"/>
      <c r="N9" s="1086"/>
      <c r="O9" s="1087" t="s">
        <v>1460</v>
      </c>
      <c r="P9" s="1088">
        <v>4.3999999999999997E-2</v>
      </c>
      <c r="Q9" s="1089"/>
      <c r="R9" s="1090"/>
      <c r="S9" s="1089"/>
      <c r="T9" s="1089"/>
    </row>
    <row r="10" spans="1:20" ht="18" customHeight="1">
      <c r="A10" s="402"/>
      <c r="B10" s="949"/>
      <c r="C10" s="949"/>
      <c r="D10" s="949"/>
      <c r="E10" s="950"/>
      <c r="F10" s="951" t="s">
        <v>1225</v>
      </c>
      <c r="G10" s="951"/>
      <c r="H10" s="1871">
        <f>H11+H65</f>
        <v>19431579</v>
      </c>
      <c r="I10" s="1908">
        <v>18499480</v>
      </c>
      <c r="J10" s="595">
        <f t="shared" si="0"/>
        <v>932099</v>
      </c>
      <c r="K10" s="1189"/>
      <c r="L10" s="1188"/>
      <c r="M10" s="252"/>
      <c r="N10" s="1086"/>
      <c r="O10" s="1091" t="s">
        <v>1461</v>
      </c>
      <c r="P10" s="1092" t="s">
        <v>1462</v>
      </c>
      <c r="Q10" s="1093"/>
      <c r="R10" s="1093"/>
      <c r="S10" s="1093"/>
      <c r="T10" s="1093"/>
    </row>
    <row r="11" spans="1:20" ht="18" customHeight="1" thickBot="1">
      <c r="A11" s="402"/>
      <c r="B11" s="949"/>
      <c r="C11" s="949"/>
      <c r="D11" s="949"/>
      <c r="E11" s="949"/>
      <c r="F11" s="952"/>
      <c r="G11" s="953" t="s">
        <v>1226</v>
      </c>
      <c r="H11" s="683">
        <f>M11</f>
        <v>19359385</v>
      </c>
      <c r="I11" s="1909">
        <v>18427286</v>
      </c>
      <c r="J11" s="590">
        <f t="shared" si="0"/>
        <v>932099</v>
      </c>
      <c r="K11" s="1186" t="s">
        <v>1249</v>
      </c>
      <c r="L11" s="995"/>
      <c r="M11" s="1824">
        <f>M12+M34</f>
        <v>19359385</v>
      </c>
      <c r="N11" s="1086"/>
      <c r="O11" s="1094">
        <v>1.4E-2</v>
      </c>
      <c r="P11" s="1095">
        <v>0.03</v>
      </c>
      <c r="Q11" s="1096"/>
      <c r="R11" s="1096"/>
      <c r="S11" s="1097"/>
      <c r="T11" s="1097"/>
    </row>
    <row r="12" spans="1:20" ht="18" customHeight="1" thickBot="1">
      <c r="A12" s="402"/>
      <c r="B12" s="949"/>
      <c r="C12" s="949"/>
      <c r="D12" s="949"/>
      <c r="E12" s="949"/>
      <c r="F12" s="952"/>
      <c r="G12" s="954"/>
      <c r="H12" s="683"/>
      <c r="I12" s="1909"/>
      <c r="J12" s="590"/>
      <c r="K12" s="1065" t="s">
        <v>1250</v>
      </c>
      <c r="L12" s="995"/>
      <c r="M12" s="1824">
        <f>M13+M16+M17+M18+M21+M24+M25+M26+M30+M31</f>
        <v>204581</v>
      </c>
      <c r="N12" s="2411" t="s">
        <v>1463</v>
      </c>
      <c r="O12" s="2412"/>
      <c r="P12" s="2412"/>
      <c r="Q12" s="2412"/>
      <c r="R12" s="2412"/>
      <c r="S12" s="2412"/>
      <c r="T12" s="2412"/>
    </row>
    <row r="13" spans="1:20" ht="18" customHeight="1">
      <c r="A13" s="402"/>
      <c r="B13" s="949"/>
      <c r="C13" s="949"/>
      <c r="D13" s="949"/>
      <c r="E13" s="949"/>
      <c r="F13" s="952"/>
      <c r="G13" s="954"/>
      <c r="H13" s="683"/>
      <c r="I13" s="1909"/>
      <c r="J13" s="590"/>
      <c r="K13" s="778" t="s">
        <v>1251</v>
      </c>
      <c r="L13" s="779"/>
      <c r="M13" s="666">
        <f>SUM(M14:M15)</f>
        <v>106555</v>
      </c>
      <c r="N13" s="1098" t="s">
        <v>1464</v>
      </c>
      <c r="O13" s="1099" t="s">
        <v>1465</v>
      </c>
      <c r="P13" s="1100"/>
      <c r="Q13" s="1101"/>
      <c r="R13" s="1101"/>
      <c r="S13" s="1101"/>
      <c r="T13" s="1102"/>
    </row>
    <row r="14" spans="1:20" ht="18" customHeight="1">
      <c r="A14" s="402"/>
      <c r="B14" s="949"/>
      <c r="C14" s="949"/>
      <c r="D14" s="949"/>
      <c r="E14" s="949"/>
      <c r="F14" s="952"/>
      <c r="G14" s="954"/>
      <c r="H14" s="683"/>
      <c r="I14" s="1910"/>
      <c r="J14" s="590"/>
      <c r="K14" s="1066" t="s">
        <v>1252</v>
      </c>
      <c r="L14" s="996" t="s">
        <v>464</v>
      </c>
      <c r="M14" s="666">
        <f>R14</f>
        <v>54427</v>
      </c>
      <c r="N14" s="1103">
        <v>4344400</v>
      </c>
      <c r="O14" s="1104">
        <f>ROUNDUP(N14*(100%+$P$9),-1)</f>
        <v>4535560</v>
      </c>
      <c r="P14" s="1104">
        <v>1</v>
      </c>
      <c r="Q14" s="1105">
        <v>12</v>
      </c>
      <c r="R14" s="1106">
        <f>ROUNDUP(O14*P14*Q14/1000,0)</f>
        <v>54427</v>
      </c>
      <c r="S14" s="1105"/>
      <c r="T14" s="1107"/>
    </row>
    <row r="15" spans="1:20" ht="18" customHeight="1">
      <c r="A15" s="402"/>
      <c r="B15" s="949"/>
      <c r="C15" s="949"/>
      <c r="D15" s="949"/>
      <c r="E15" s="949"/>
      <c r="F15" s="952"/>
      <c r="G15" s="954"/>
      <c r="H15" s="683"/>
      <c r="I15" s="1910"/>
      <c r="J15" s="590"/>
      <c r="K15" s="1066" t="s">
        <v>1253</v>
      </c>
      <c r="L15" s="996" t="s">
        <v>464</v>
      </c>
      <c r="M15" s="666">
        <f t="shared" ref="M15:M17" si="1">R15</f>
        <v>52128</v>
      </c>
      <c r="N15" s="1103">
        <v>4160900</v>
      </c>
      <c r="O15" s="1104">
        <f>ROUNDUP(N15*(100%+$P$9),-1)</f>
        <v>4343980</v>
      </c>
      <c r="P15" s="1104">
        <v>1</v>
      </c>
      <c r="Q15" s="1105">
        <v>12</v>
      </c>
      <c r="R15" s="1106">
        <f>ROUNDUP(O15*P15*Q15/1000,0)</f>
        <v>52128</v>
      </c>
      <c r="S15" s="1105"/>
      <c r="T15" s="1107"/>
    </row>
    <row r="16" spans="1:20" ht="18" customHeight="1">
      <c r="A16" s="402"/>
      <c r="B16" s="949"/>
      <c r="C16" s="949"/>
      <c r="D16" s="949"/>
      <c r="E16" s="949"/>
      <c r="F16" s="952"/>
      <c r="G16" s="949"/>
      <c r="H16" s="683"/>
      <c r="I16" s="1910"/>
      <c r="J16" s="590"/>
      <c r="K16" s="1008" t="s">
        <v>1254</v>
      </c>
      <c r="L16" s="996" t="s">
        <v>464</v>
      </c>
      <c r="M16" s="666">
        <f t="shared" si="1"/>
        <v>1680</v>
      </c>
      <c r="N16" s="1108"/>
      <c r="O16" s="1104">
        <v>70000</v>
      </c>
      <c r="P16" s="1104">
        <v>2</v>
      </c>
      <c r="Q16" s="1105">
        <v>12</v>
      </c>
      <c r="R16" s="1106">
        <f>ROUNDUP(O16*P16*Q16/1000,0)</f>
        <v>1680</v>
      </c>
      <c r="S16" s="1105"/>
      <c r="T16" s="1107"/>
    </row>
    <row r="17" spans="1:20" ht="18" customHeight="1">
      <c r="A17" s="402"/>
      <c r="B17" s="949"/>
      <c r="C17" s="949"/>
      <c r="D17" s="949"/>
      <c r="E17" s="949"/>
      <c r="F17" s="952"/>
      <c r="G17" s="949"/>
      <c r="H17" s="683"/>
      <c r="I17" s="1910"/>
      <c r="J17" s="590"/>
      <c r="K17" s="1008" t="s">
        <v>1255</v>
      </c>
      <c r="L17" s="996" t="s">
        <v>464</v>
      </c>
      <c r="M17" s="666">
        <f t="shared" si="1"/>
        <v>4560</v>
      </c>
      <c r="N17" s="1108"/>
      <c r="O17" s="1104">
        <v>190000</v>
      </c>
      <c r="P17" s="1104">
        <v>2</v>
      </c>
      <c r="Q17" s="1105">
        <v>12</v>
      </c>
      <c r="R17" s="1106">
        <f>ROUNDUP(O17*P17*Q17/1000,0)</f>
        <v>4560</v>
      </c>
      <c r="S17" s="1105"/>
      <c r="T17" s="1107"/>
    </row>
    <row r="18" spans="1:20" ht="18" customHeight="1">
      <c r="A18" s="402"/>
      <c r="B18" s="949"/>
      <c r="C18" s="949"/>
      <c r="D18" s="949"/>
      <c r="E18" s="949"/>
      <c r="F18" s="952"/>
      <c r="G18" s="954"/>
      <c r="H18" s="683"/>
      <c r="I18" s="1910"/>
      <c r="J18" s="590"/>
      <c r="K18" s="1066" t="s">
        <v>1256</v>
      </c>
      <c r="L18" s="997"/>
      <c r="M18" s="666">
        <f>SUM(M19:M20)</f>
        <v>9400</v>
      </c>
      <c r="N18" s="2413"/>
      <c r="O18" s="2414"/>
      <c r="P18" s="2414"/>
      <c r="Q18" s="1105"/>
      <c r="R18" s="1105"/>
      <c r="S18" s="1105"/>
      <c r="T18" s="1107"/>
    </row>
    <row r="19" spans="1:20" ht="18" customHeight="1">
      <c r="A19" s="402"/>
      <c r="B19" s="949"/>
      <c r="C19" s="949"/>
      <c r="D19" s="949"/>
      <c r="E19" s="949"/>
      <c r="F19" s="952"/>
      <c r="G19" s="954"/>
      <c r="H19" s="683"/>
      <c r="I19" s="1910"/>
      <c r="J19" s="590"/>
      <c r="K19" s="1066" t="s">
        <v>1257</v>
      </c>
      <c r="L19" s="996" t="s">
        <v>464</v>
      </c>
      <c r="M19" s="666">
        <f>R19</f>
        <v>4796</v>
      </c>
      <c r="N19" s="1108"/>
      <c r="O19" s="1104">
        <f>O14+O16+O17</f>
        <v>4795560</v>
      </c>
      <c r="P19" s="1109">
        <v>1</v>
      </c>
      <c r="Q19" s="1105">
        <v>1</v>
      </c>
      <c r="R19" s="1106">
        <f>ROUNDUP(O19*P19*Q19/1000,0)</f>
        <v>4796</v>
      </c>
      <c r="S19" s="1105"/>
      <c r="T19" s="1107"/>
    </row>
    <row r="20" spans="1:20" ht="18" customHeight="1">
      <c r="A20" s="402"/>
      <c r="B20" s="949"/>
      <c r="C20" s="949"/>
      <c r="D20" s="949"/>
      <c r="E20" s="949"/>
      <c r="F20" s="952"/>
      <c r="G20" s="954"/>
      <c r="H20" s="683"/>
      <c r="I20" s="1910"/>
      <c r="J20" s="590"/>
      <c r="K20" s="1066" t="s">
        <v>1258</v>
      </c>
      <c r="L20" s="996" t="s">
        <v>464</v>
      </c>
      <c r="M20" s="666">
        <f>R20</f>
        <v>4604</v>
      </c>
      <c r="N20" s="1108"/>
      <c r="O20" s="1104">
        <f>O15+O16+O17</f>
        <v>4603980</v>
      </c>
      <c r="P20" s="1109">
        <v>1</v>
      </c>
      <c r="Q20" s="1105">
        <v>1</v>
      </c>
      <c r="R20" s="1106">
        <f>ROUNDUP(O20*P20*Q20/1000,0)</f>
        <v>4604</v>
      </c>
      <c r="S20" s="1105"/>
      <c r="T20" s="1107"/>
    </row>
    <row r="21" spans="1:20" ht="18" customHeight="1">
      <c r="A21" s="402"/>
      <c r="B21" s="949"/>
      <c r="C21" s="949"/>
      <c r="D21" s="949"/>
      <c r="E21" s="949"/>
      <c r="F21" s="952"/>
      <c r="G21" s="954"/>
      <c r="H21" s="683"/>
      <c r="I21" s="1910"/>
      <c r="J21" s="590"/>
      <c r="K21" s="1066" t="s">
        <v>1259</v>
      </c>
      <c r="L21" s="996"/>
      <c r="M21" s="666">
        <f>SUM(M22:M23)</f>
        <v>720</v>
      </c>
      <c r="N21" s="1108"/>
      <c r="O21" s="1104"/>
      <c r="P21" s="1104"/>
      <c r="Q21" s="1105"/>
      <c r="R21" s="1105"/>
      <c r="S21" s="1105"/>
      <c r="T21" s="1107"/>
    </row>
    <row r="22" spans="1:20" ht="18" customHeight="1">
      <c r="A22" s="402"/>
      <c r="B22" s="949"/>
      <c r="C22" s="949"/>
      <c r="D22" s="949"/>
      <c r="E22" s="949"/>
      <c r="F22" s="952"/>
      <c r="G22" s="954"/>
      <c r="H22" s="683"/>
      <c r="I22" s="1910"/>
      <c r="J22" s="590"/>
      <c r="K22" s="1066" t="s">
        <v>1260</v>
      </c>
      <c r="L22" s="996" t="s">
        <v>464</v>
      </c>
      <c r="M22" s="666">
        <f>R22</f>
        <v>480</v>
      </c>
      <c r="N22" s="1108"/>
      <c r="O22" s="1104">
        <v>40000</v>
      </c>
      <c r="P22" s="1104">
        <v>1</v>
      </c>
      <c r="Q22" s="1105">
        <v>12</v>
      </c>
      <c r="R22" s="1106">
        <f>ROUNDUP(O22*P22*Q22/1000,0)</f>
        <v>480</v>
      </c>
      <c r="S22" s="1105"/>
      <c r="T22" s="1107"/>
    </row>
    <row r="23" spans="1:20" ht="18" customHeight="1">
      <c r="A23" s="402"/>
      <c r="B23" s="949"/>
      <c r="C23" s="949"/>
      <c r="D23" s="949"/>
      <c r="E23" s="949"/>
      <c r="F23" s="952"/>
      <c r="G23" s="954"/>
      <c r="H23" s="683"/>
      <c r="I23" s="1910"/>
      <c r="J23" s="590"/>
      <c r="K23" s="1066" t="s">
        <v>1261</v>
      </c>
      <c r="L23" s="996" t="s">
        <v>464</v>
      </c>
      <c r="M23" s="666">
        <f t="shared" ref="M23:M25" si="2">R23</f>
        <v>240</v>
      </c>
      <c r="N23" s="1108"/>
      <c r="O23" s="1104">
        <v>20000</v>
      </c>
      <c r="P23" s="1104">
        <v>1</v>
      </c>
      <c r="Q23" s="1105">
        <v>12</v>
      </c>
      <c r="R23" s="1106">
        <f>ROUNDUP(O23*P23*Q23/1000,0)</f>
        <v>240</v>
      </c>
      <c r="S23" s="1105"/>
      <c r="T23" s="1107"/>
    </row>
    <row r="24" spans="1:20" ht="18" customHeight="1">
      <c r="A24" s="402"/>
      <c r="B24" s="949"/>
      <c r="C24" s="949"/>
      <c r="D24" s="949"/>
      <c r="E24" s="949"/>
      <c r="F24" s="952"/>
      <c r="G24" s="949"/>
      <c r="H24" s="683"/>
      <c r="I24" s="1910"/>
      <c r="J24" s="590"/>
      <c r="K24" s="1008" t="s">
        <v>1262</v>
      </c>
      <c r="L24" s="996" t="s">
        <v>242</v>
      </c>
      <c r="M24" s="666">
        <f t="shared" si="2"/>
        <v>3120</v>
      </c>
      <c r="N24" s="1108"/>
      <c r="O24" s="1104">
        <v>130000</v>
      </c>
      <c r="P24" s="1104">
        <v>2</v>
      </c>
      <c r="Q24" s="1105">
        <v>12</v>
      </c>
      <c r="R24" s="1106">
        <f>ROUNDUP(O24*P24*Q24/1000,0)</f>
        <v>3120</v>
      </c>
      <c r="S24" s="1105"/>
      <c r="T24" s="1107"/>
    </row>
    <row r="25" spans="1:20" ht="18" customHeight="1">
      <c r="A25" s="402"/>
      <c r="B25" s="949"/>
      <c r="C25" s="949"/>
      <c r="D25" s="949"/>
      <c r="E25" s="949"/>
      <c r="F25" s="952"/>
      <c r="G25" s="949"/>
      <c r="H25" s="683"/>
      <c r="I25" s="1910"/>
      <c r="J25" s="590"/>
      <c r="K25" s="1008" t="s">
        <v>1263</v>
      </c>
      <c r="L25" s="996" t="s">
        <v>242</v>
      </c>
      <c r="M25" s="666">
        <f t="shared" si="2"/>
        <v>4320</v>
      </c>
      <c r="N25" s="1108"/>
      <c r="O25" s="1104">
        <v>180000</v>
      </c>
      <c r="P25" s="1104">
        <v>2</v>
      </c>
      <c r="Q25" s="1105">
        <v>12</v>
      </c>
      <c r="R25" s="1106">
        <f>ROUNDUP(O25*P25*Q25/1000,0)</f>
        <v>4320</v>
      </c>
      <c r="S25" s="1105"/>
      <c r="T25" s="1107"/>
    </row>
    <row r="26" spans="1:20" ht="18" customHeight="1">
      <c r="A26" s="402"/>
      <c r="B26" s="949"/>
      <c r="C26" s="949"/>
      <c r="D26" s="949"/>
      <c r="E26" s="949"/>
      <c r="F26" s="952"/>
      <c r="G26" s="949"/>
      <c r="H26" s="683"/>
      <c r="I26" s="1910"/>
      <c r="J26" s="590"/>
      <c r="K26" s="1066" t="s">
        <v>1264</v>
      </c>
      <c r="L26" s="440"/>
      <c r="M26" s="666">
        <f>SUM(M27:M29)</f>
        <v>54994</v>
      </c>
      <c r="N26" s="2413"/>
      <c r="O26" s="2414"/>
      <c r="P26" s="2414"/>
      <c r="Q26" s="1105"/>
      <c r="R26" s="1105"/>
      <c r="S26" s="1105"/>
      <c r="T26" s="1107"/>
    </row>
    <row r="27" spans="1:20" ht="18" customHeight="1">
      <c r="A27" s="402"/>
      <c r="B27" s="949"/>
      <c r="C27" s="949"/>
      <c r="D27" s="949"/>
      <c r="E27" s="949"/>
      <c r="F27" s="952"/>
      <c r="G27" s="949"/>
      <c r="H27" s="683"/>
      <c r="I27" s="1910"/>
      <c r="J27" s="590"/>
      <c r="K27" s="1008" t="s">
        <v>1265</v>
      </c>
      <c r="L27" s="440" t="s">
        <v>464</v>
      </c>
      <c r="M27" s="666">
        <f>T27</f>
        <v>1930</v>
      </c>
      <c r="N27" s="1110"/>
      <c r="O27" s="1104">
        <v>26800</v>
      </c>
      <c r="P27" s="1109">
        <v>1.5</v>
      </c>
      <c r="Q27" s="1105">
        <v>2</v>
      </c>
      <c r="R27" s="1105">
        <v>2</v>
      </c>
      <c r="S27" s="1105">
        <v>12</v>
      </c>
      <c r="T27" s="1107">
        <f>ROUNDUP(O27*P27*Q27*R27*S27/1000,0)</f>
        <v>1930</v>
      </c>
    </row>
    <row r="28" spans="1:20" ht="18" customHeight="1">
      <c r="A28" s="402"/>
      <c r="B28" s="949"/>
      <c r="C28" s="949"/>
      <c r="D28" s="949"/>
      <c r="E28" s="949"/>
      <c r="F28" s="952"/>
      <c r="G28" s="949"/>
      <c r="H28" s="683"/>
      <c r="I28" s="1910"/>
      <c r="J28" s="590"/>
      <c r="K28" s="1008" t="s">
        <v>1266</v>
      </c>
      <c r="L28" s="440" t="s">
        <v>464</v>
      </c>
      <c r="M28" s="666">
        <f t="shared" ref="M28:M29" si="3">T28</f>
        <v>45024</v>
      </c>
      <c r="N28" s="1108"/>
      <c r="O28" s="1104">
        <v>26800</v>
      </c>
      <c r="P28" s="1109">
        <v>1.5</v>
      </c>
      <c r="Q28" s="1105">
        <v>8</v>
      </c>
      <c r="R28" s="1105">
        <v>2</v>
      </c>
      <c r="S28" s="1105">
        <v>70</v>
      </c>
      <c r="T28" s="1107">
        <f>ROUNDUP(O28*P28*Q28*R28*S28/1000,0)</f>
        <v>45024</v>
      </c>
    </row>
    <row r="29" spans="1:20" ht="18" customHeight="1">
      <c r="A29" s="402"/>
      <c r="B29" s="949"/>
      <c r="C29" s="949"/>
      <c r="D29" s="949"/>
      <c r="E29" s="949"/>
      <c r="F29" s="952"/>
      <c r="G29" s="949"/>
      <c r="H29" s="683"/>
      <c r="I29" s="1910"/>
      <c r="J29" s="590"/>
      <c r="K29" s="1008" t="s">
        <v>1267</v>
      </c>
      <c r="L29" s="440" t="s">
        <v>464</v>
      </c>
      <c r="M29" s="666">
        <f t="shared" si="3"/>
        <v>8040</v>
      </c>
      <c r="N29" s="1108"/>
      <c r="O29" s="1104">
        <v>26800</v>
      </c>
      <c r="P29" s="1109">
        <v>0.5</v>
      </c>
      <c r="Q29" s="1105">
        <v>1</v>
      </c>
      <c r="R29" s="1105">
        <v>2</v>
      </c>
      <c r="S29" s="1105">
        <v>300</v>
      </c>
      <c r="T29" s="1107">
        <f>ROUNDUP(O29*P29*Q29*R29*S29/1000,0)</f>
        <v>8040</v>
      </c>
    </row>
    <row r="30" spans="1:20" ht="18" customHeight="1">
      <c r="A30" s="402"/>
      <c r="B30" s="949"/>
      <c r="C30" s="949"/>
      <c r="D30" s="949"/>
      <c r="E30" s="949"/>
      <c r="F30" s="952"/>
      <c r="G30" s="949"/>
      <c r="H30" s="683"/>
      <c r="I30" s="1910"/>
      <c r="J30" s="590"/>
      <c r="K30" s="1008" t="s">
        <v>1268</v>
      </c>
      <c r="L30" s="440" t="s">
        <v>464</v>
      </c>
      <c r="M30" s="666">
        <f>R30</f>
        <v>8576</v>
      </c>
      <c r="N30" s="1108"/>
      <c r="O30" s="1104">
        <f>O29*8</f>
        <v>214400</v>
      </c>
      <c r="P30" s="1104">
        <v>2</v>
      </c>
      <c r="Q30" s="1105">
        <v>20</v>
      </c>
      <c r="R30" s="1106">
        <f>ROUNDUP(O30*P30*Q30/1000,0)</f>
        <v>8576</v>
      </c>
      <c r="S30" s="1105"/>
      <c r="T30" s="1107"/>
    </row>
    <row r="31" spans="1:20" ht="18" customHeight="1">
      <c r="A31" s="402"/>
      <c r="B31" s="949"/>
      <c r="C31" s="949"/>
      <c r="D31" s="949"/>
      <c r="E31" s="949"/>
      <c r="F31" s="952"/>
      <c r="G31" s="954"/>
      <c r="H31" s="683"/>
      <c r="I31" s="1909"/>
      <c r="J31" s="590"/>
      <c r="K31" s="778" t="s">
        <v>1269</v>
      </c>
      <c r="L31" s="779"/>
      <c r="M31" s="666">
        <f>SUM(M32:M33)</f>
        <v>10656</v>
      </c>
      <c r="N31" s="1108"/>
      <c r="O31" s="1104"/>
      <c r="P31" s="1104"/>
      <c r="Q31" s="1105"/>
      <c r="R31" s="1105"/>
      <c r="S31" s="1105"/>
      <c r="T31" s="1107"/>
    </row>
    <row r="32" spans="1:20" ht="18" customHeight="1">
      <c r="A32" s="402"/>
      <c r="B32" s="949"/>
      <c r="C32" s="949"/>
      <c r="D32" s="949"/>
      <c r="E32" s="949"/>
      <c r="F32" s="952"/>
      <c r="G32" s="954"/>
      <c r="H32" s="683"/>
      <c r="I32" s="1910"/>
      <c r="J32" s="590"/>
      <c r="K32" s="1066" t="s">
        <v>1270</v>
      </c>
      <c r="L32" s="996" t="s">
        <v>464</v>
      </c>
      <c r="M32" s="666">
        <f>R32</f>
        <v>5443</v>
      </c>
      <c r="N32" s="1108"/>
      <c r="O32" s="1104">
        <f>O14</f>
        <v>4535560</v>
      </c>
      <c r="P32" s="1109">
        <v>1.2</v>
      </c>
      <c r="Q32" s="1105">
        <v>1</v>
      </c>
      <c r="R32" s="1106">
        <f>ROUNDUP(O32*P32*Q32/1000,0)</f>
        <v>5443</v>
      </c>
      <c r="S32" s="1105"/>
      <c r="T32" s="1107"/>
    </row>
    <row r="33" spans="1:20" ht="18" customHeight="1">
      <c r="A33" s="402"/>
      <c r="B33" s="949"/>
      <c r="C33" s="949"/>
      <c r="D33" s="949"/>
      <c r="E33" s="949"/>
      <c r="F33" s="952"/>
      <c r="G33" s="954"/>
      <c r="H33" s="683"/>
      <c r="I33" s="1910"/>
      <c r="J33" s="590"/>
      <c r="K33" s="1066" t="s">
        <v>1271</v>
      </c>
      <c r="L33" s="996" t="s">
        <v>464</v>
      </c>
      <c r="M33" s="666">
        <f>R33</f>
        <v>5213</v>
      </c>
      <c r="N33" s="1108"/>
      <c r="O33" s="1104">
        <f>O15</f>
        <v>4343980</v>
      </c>
      <c r="P33" s="1109">
        <v>1.2</v>
      </c>
      <c r="Q33" s="1105">
        <v>1</v>
      </c>
      <c r="R33" s="1106">
        <f>ROUNDUP(O33*P33*Q33/1000,0)</f>
        <v>5213</v>
      </c>
      <c r="S33" s="1105"/>
      <c r="T33" s="1107"/>
    </row>
    <row r="34" spans="1:20" ht="18" customHeight="1">
      <c r="A34" s="402"/>
      <c r="B34" s="949"/>
      <c r="C34" s="949"/>
      <c r="D34" s="949"/>
      <c r="E34" s="949"/>
      <c r="F34" s="952"/>
      <c r="G34" s="949"/>
      <c r="H34" s="683"/>
      <c r="I34" s="1910"/>
      <c r="J34" s="590"/>
      <c r="K34" s="1067" t="s">
        <v>1272</v>
      </c>
      <c r="L34" s="997"/>
      <c r="M34" s="1824">
        <f>M35+M36+M37+M38+M39+M43+M49+M54+M58+M59+M60+M63+M64</f>
        <v>19154804</v>
      </c>
      <c r="N34" s="1111" t="s">
        <v>1464</v>
      </c>
      <c r="O34" s="1112" t="s">
        <v>1466</v>
      </c>
      <c r="P34" s="1104"/>
      <c r="Q34" s="1105"/>
      <c r="R34" s="1105"/>
      <c r="S34" s="1113"/>
      <c r="T34" s="1114"/>
    </row>
    <row r="35" spans="1:20" ht="18" customHeight="1">
      <c r="A35" s="402"/>
      <c r="B35" s="949"/>
      <c r="C35" s="949"/>
      <c r="D35" s="949"/>
      <c r="E35" s="949"/>
      <c r="F35" s="952"/>
      <c r="G35" s="949"/>
      <c r="H35" s="683"/>
      <c r="I35" s="1910"/>
      <c r="J35" s="590"/>
      <c r="K35" s="1066" t="s">
        <v>1273</v>
      </c>
      <c r="L35" s="997" t="s">
        <v>242</v>
      </c>
      <c r="M35" s="666">
        <f>R35</f>
        <v>7099494</v>
      </c>
      <c r="N35" s="1103">
        <v>2083410</v>
      </c>
      <c r="O35" s="1104">
        <f>ROUNDUP(N35*(100%+$P$9),-1)</f>
        <v>2175090</v>
      </c>
      <c r="P35" s="1104">
        <v>272</v>
      </c>
      <c r="Q35" s="1105">
        <v>12</v>
      </c>
      <c r="R35" s="1106">
        <f>ROUNDUP(O35*P35*Q35/1000,0)</f>
        <v>7099494</v>
      </c>
      <c r="S35" s="1105"/>
      <c r="T35" s="1107"/>
    </row>
    <row r="36" spans="1:20" ht="18" customHeight="1">
      <c r="A36" s="402"/>
      <c r="B36" s="949"/>
      <c r="C36" s="949"/>
      <c r="D36" s="949"/>
      <c r="E36" s="949"/>
      <c r="F36" s="952"/>
      <c r="G36" s="952"/>
      <c r="H36" s="683"/>
      <c r="I36" s="1910"/>
      <c r="J36" s="590"/>
      <c r="K36" s="1066" t="s">
        <v>1274</v>
      </c>
      <c r="L36" s="996" t="s">
        <v>242</v>
      </c>
      <c r="M36" s="666">
        <f t="shared" ref="M36:M38" si="4">R36</f>
        <v>293760</v>
      </c>
      <c r="N36" s="1108"/>
      <c r="O36" s="1104">
        <v>90000</v>
      </c>
      <c r="P36" s="1104">
        <v>272</v>
      </c>
      <c r="Q36" s="1113">
        <v>12</v>
      </c>
      <c r="R36" s="1106">
        <f>ROUNDUP(O36*P36*Q36/1000,0)</f>
        <v>293760</v>
      </c>
      <c r="S36" s="1105"/>
      <c r="T36" s="1107"/>
    </row>
    <row r="37" spans="1:20" ht="18" customHeight="1">
      <c r="A37" s="402"/>
      <c r="B37" s="949"/>
      <c r="C37" s="949"/>
      <c r="D37" s="949"/>
      <c r="E37" s="949"/>
      <c r="F37" s="952"/>
      <c r="G37" s="949"/>
      <c r="H37" s="683"/>
      <c r="I37" s="1910"/>
      <c r="J37" s="590"/>
      <c r="K37" s="1008" t="s">
        <v>1275</v>
      </c>
      <c r="L37" s="996" t="s">
        <v>242</v>
      </c>
      <c r="M37" s="666">
        <f t="shared" si="4"/>
        <v>228480</v>
      </c>
      <c r="N37" s="1108"/>
      <c r="O37" s="1104">
        <v>70000</v>
      </c>
      <c r="P37" s="1104">
        <v>272</v>
      </c>
      <c r="Q37" s="1105">
        <v>12</v>
      </c>
      <c r="R37" s="1106">
        <f>ROUNDUP(O37*P37*Q37/1000,0)</f>
        <v>228480</v>
      </c>
      <c r="S37" s="1115"/>
      <c r="T37" s="1116"/>
    </row>
    <row r="38" spans="1:20" ht="18" customHeight="1">
      <c r="A38" s="402"/>
      <c r="B38" s="949"/>
      <c r="C38" s="949"/>
      <c r="D38" s="949"/>
      <c r="E38" s="949"/>
      <c r="F38" s="952"/>
      <c r="G38" s="952"/>
      <c r="H38" s="683"/>
      <c r="I38" s="1910"/>
      <c r="J38" s="590"/>
      <c r="K38" s="1066" t="s">
        <v>1276</v>
      </c>
      <c r="L38" s="996" t="s">
        <v>464</v>
      </c>
      <c r="M38" s="666">
        <f t="shared" si="4"/>
        <v>620160</v>
      </c>
      <c r="N38" s="1108"/>
      <c r="O38" s="1104">
        <v>190000</v>
      </c>
      <c r="P38" s="1104">
        <v>272</v>
      </c>
      <c r="Q38" s="1105">
        <v>12</v>
      </c>
      <c r="R38" s="1106">
        <f>ROUNDUP(O38*P38*Q38/1000,0)</f>
        <v>620160</v>
      </c>
      <c r="S38" s="1105"/>
      <c r="T38" s="1107"/>
    </row>
    <row r="39" spans="1:20" ht="18" customHeight="1">
      <c r="A39" s="402"/>
      <c r="B39" s="949"/>
      <c r="C39" s="949"/>
      <c r="D39" s="949"/>
      <c r="E39" s="949"/>
      <c r="F39" s="952"/>
      <c r="G39" s="949"/>
      <c r="H39" s="683"/>
      <c r="I39" s="1910"/>
      <c r="J39" s="590"/>
      <c r="K39" s="1068" t="s">
        <v>1277</v>
      </c>
      <c r="L39" s="997"/>
      <c r="M39" s="666">
        <f>SUM(M40:M42)</f>
        <v>3777536</v>
      </c>
      <c r="N39" s="1108"/>
      <c r="O39" s="1104"/>
      <c r="P39" s="1104"/>
      <c r="Q39" s="1115"/>
      <c r="R39" s="1115"/>
      <c r="S39" s="1105"/>
      <c r="T39" s="1107"/>
    </row>
    <row r="40" spans="1:20" ht="18" customHeight="1">
      <c r="A40" s="402"/>
      <c r="B40" s="949"/>
      <c r="C40" s="949"/>
      <c r="D40" s="949"/>
      <c r="E40" s="949"/>
      <c r="F40" s="952"/>
      <c r="G40" s="949"/>
      <c r="H40" s="683"/>
      <c r="I40" s="1910"/>
      <c r="J40" s="590"/>
      <c r="K40" s="1008" t="s">
        <v>1278</v>
      </c>
      <c r="L40" s="440" t="s">
        <v>464</v>
      </c>
      <c r="M40" s="666">
        <f>R40</f>
        <v>1373649</v>
      </c>
      <c r="N40" s="1108"/>
      <c r="O40" s="1104">
        <f>SUM($O$35:$O$38)</f>
        <v>2525090</v>
      </c>
      <c r="P40" s="1109">
        <v>2</v>
      </c>
      <c r="Q40" s="1105">
        <v>272</v>
      </c>
      <c r="R40" s="1106">
        <f>ROUNDUP(O40*P40*Q40/1000,0)</f>
        <v>1373649</v>
      </c>
      <c r="S40" s="1105"/>
      <c r="T40" s="1107"/>
    </row>
    <row r="41" spans="1:20" ht="18" customHeight="1">
      <c r="A41" s="402"/>
      <c r="B41" s="949"/>
      <c r="C41" s="949"/>
      <c r="D41" s="949"/>
      <c r="E41" s="949"/>
      <c r="F41" s="952"/>
      <c r="G41" s="949"/>
      <c r="H41" s="683"/>
      <c r="I41" s="1910"/>
      <c r="J41" s="590"/>
      <c r="K41" s="1008" t="s">
        <v>1279</v>
      </c>
      <c r="L41" s="440" t="s">
        <v>464</v>
      </c>
      <c r="M41" s="666">
        <f t="shared" ref="M41:M42" si="5">R41</f>
        <v>1717062</v>
      </c>
      <c r="N41" s="1108"/>
      <c r="O41" s="1104">
        <f>SUM($O$35:$O$38)</f>
        <v>2525090</v>
      </c>
      <c r="P41" s="1109">
        <v>2.5</v>
      </c>
      <c r="Q41" s="1105">
        <v>272</v>
      </c>
      <c r="R41" s="1106">
        <f>ROUNDUP(O41*P41*Q41/1000,0)</f>
        <v>1717062</v>
      </c>
      <c r="S41" s="1105"/>
      <c r="T41" s="1107"/>
    </row>
    <row r="42" spans="1:20" ht="18" customHeight="1">
      <c r="A42" s="402"/>
      <c r="B42" s="949"/>
      <c r="C42" s="949"/>
      <c r="D42" s="949"/>
      <c r="E42" s="949"/>
      <c r="F42" s="952"/>
      <c r="G42" s="949"/>
      <c r="H42" s="683"/>
      <c r="I42" s="1910"/>
      <c r="J42" s="590"/>
      <c r="K42" s="1008" t="s">
        <v>1280</v>
      </c>
      <c r="L42" s="440" t="s">
        <v>464</v>
      </c>
      <c r="M42" s="666">
        <f t="shared" si="5"/>
        <v>686825</v>
      </c>
      <c r="N42" s="1108"/>
      <c r="O42" s="1104">
        <f>SUM($O$35:$O$38)</f>
        <v>2525090</v>
      </c>
      <c r="P42" s="1109">
        <v>1</v>
      </c>
      <c r="Q42" s="1105">
        <v>272</v>
      </c>
      <c r="R42" s="1106">
        <f>ROUNDUP(O42*P42*Q42/1000,0)</f>
        <v>686825</v>
      </c>
      <c r="S42" s="1105"/>
      <c r="T42" s="1107"/>
    </row>
    <row r="43" spans="1:20" ht="18" customHeight="1">
      <c r="A43" s="402"/>
      <c r="B43" s="949"/>
      <c r="C43" s="949"/>
      <c r="D43" s="949"/>
      <c r="E43" s="949"/>
      <c r="F43" s="952"/>
      <c r="G43" s="952"/>
      <c r="H43" s="683"/>
      <c r="I43" s="1910"/>
      <c r="J43" s="590"/>
      <c r="K43" s="1066" t="s">
        <v>1259</v>
      </c>
      <c r="L43" s="996"/>
      <c r="M43" s="666">
        <f>SUM(M44:M48)</f>
        <v>310800</v>
      </c>
      <c r="N43" s="1108"/>
      <c r="O43" s="1104"/>
      <c r="P43" s="1104"/>
      <c r="Q43" s="1105"/>
      <c r="R43" s="1105"/>
      <c r="S43" s="1105"/>
      <c r="T43" s="1107"/>
    </row>
    <row r="44" spans="1:20" ht="18" customHeight="1">
      <c r="A44" s="402"/>
      <c r="B44" s="949"/>
      <c r="C44" s="949"/>
      <c r="D44" s="949"/>
      <c r="E44" s="949"/>
      <c r="F44" s="952"/>
      <c r="G44" s="952"/>
      <c r="H44" s="683"/>
      <c r="I44" s="1910"/>
      <c r="J44" s="590"/>
      <c r="K44" s="1066" t="s">
        <v>1281</v>
      </c>
      <c r="L44" s="996" t="s">
        <v>464</v>
      </c>
      <c r="M44" s="666">
        <f>R44</f>
        <v>91200</v>
      </c>
      <c r="N44" s="1108"/>
      <c r="O44" s="1104">
        <v>40000</v>
      </c>
      <c r="P44" s="1104">
        <v>190</v>
      </c>
      <c r="Q44" s="1105">
        <v>12</v>
      </c>
      <c r="R44" s="1106">
        <f>ROUNDUP(O44*P44*Q44/1000,0)</f>
        <v>91200</v>
      </c>
      <c r="S44" s="1105"/>
      <c r="T44" s="1107"/>
    </row>
    <row r="45" spans="1:20" ht="18" customHeight="1">
      <c r="A45" s="402"/>
      <c r="B45" s="949"/>
      <c r="C45" s="949"/>
      <c r="D45" s="949"/>
      <c r="E45" s="949"/>
      <c r="F45" s="952"/>
      <c r="G45" s="952"/>
      <c r="H45" s="683"/>
      <c r="I45" s="1910"/>
      <c r="J45" s="590"/>
      <c r="K45" s="1066" t="s">
        <v>1282</v>
      </c>
      <c r="L45" s="996" t="s">
        <v>464</v>
      </c>
      <c r="M45" s="666">
        <f t="shared" ref="M45:M48" si="6">R45</f>
        <v>21600</v>
      </c>
      <c r="N45" s="1108"/>
      <c r="O45" s="1104">
        <v>20000</v>
      </c>
      <c r="P45" s="1104">
        <v>90</v>
      </c>
      <c r="Q45" s="1105">
        <v>12</v>
      </c>
      <c r="R45" s="1106">
        <f>ROUNDUP(O45*P45*Q45/1000,0)</f>
        <v>21600</v>
      </c>
      <c r="S45" s="1105"/>
      <c r="T45" s="1107"/>
    </row>
    <row r="46" spans="1:20" ht="18" customHeight="1">
      <c r="A46" s="402"/>
      <c r="B46" s="949"/>
      <c r="C46" s="949"/>
      <c r="D46" s="949"/>
      <c r="E46" s="949"/>
      <c r="F46" s="952"/>
      <c r="G46" s="952"/>
      <c r="H46" s="683"/>
      <c r="I46" s="1910"/>
      <c r="J46" s="590"/>
      <c r="K46" s="1066" t="s">
        <v>1283</v>
      </c>
      <c r="L46" s="996" t="s">
        <v>464</v>
      </c>
      <c r="M46" s="666">
        <f t="shared" si="6"/>
        <v>54000</v>
      </c>
      <c r="N46" s="1108"/>
      <c r="O46" s="1104">
        <v>50000</v>
      </c>
      <c r="P46" s="1104">
        <v>90</v>
      </c>
      <c r="Q46" s="1105">
        <v>12</v>
      </c>
      <c r="R46" s="1106">
        <f>ROUNDUP(O46*P46*Q46/1000,0)</f>
        <v>54000</v>
      </c>
      <c r="S46" s="1105"/>
      <c r="T46" s="1107"/>
    </row>
    <row r="47" spans="1:20" ht="18" customHeight="1">
      <c r="A47" s="402"/>
      <c r="B47" s="949"/>
      <c r="C47" s="949"/>
      <c r="D47" s="949"/>
      <c r="E47" s="949"/>
      <c r="F47" s="952"/>
      <c r="G47" s="952"/>
      <c r="H47" s="683"/>
      <c r="I47" s="1910"/>
      <c r="J47" s="590"/>
      <c r="K47" s="1066" t="s">
        <v>1284</v>
      </c>
      <c r="L47" s="996" t="s">
        <v>464</v>
      </c>
      <c r="M47" s="666">
        <f t="shared" si="6"/>
        <v>86400</v>
      </c>
      <c r="N47" s="1108"/>
      <c r="O47" s="1104">
        <v>80000</v>
      </c>
      <c r="P47" s="1104">
        <v>90</v>
      </c>
      <c r="Q47" s="1105">
        <v>12</v>
      </c>
      <c r="R47" s="1106">
        <f>ROUNDUP(O47*P47*Q47/1000,0)</f>
        <v>86400</v>
      </c>
      <c r="S47" s="1105"/>
      <c r="T47" s="1107"/>
    </row>
    <row r="48" spans="1:20" ht="18" customHeight="1">
      <c r="A48" s="402"/>
      <c r="B48" s="949"/>
      <c r="C48" s="949"/>
      <c r="D48" s="949"/>
      <c r="E48" s="949"/>
      <c r="F48" s="952"/>
      <c r="G48" s="952"/>
      <c r="H48" s="683"/>
      <c r="I48" s="1910"/>
      <c r="J48" s="590"/>
      <c r="K48" s="1066" t="s">
        <v>1285</v>
      </c>
      <c r="L48" s="996" t="s">
        <v>464</v>
      </c>
      <c r="M48" s="666">
        <f t="shared" si="6"/>
        <v>57600</v>
      </c>
      <c r="N48" s="1108"/>
      <c r="O48" s="1104">
        <v>120000</v>
      </c>
      <c r="P48" s="1104">
        <v>40</v>
      </c>
      <c r="Q48" s="1105">
        <v>12</v>
      </c>
      <c r="R48" s="1106">
        <f>ROUNDUP(O48*P48*Q48/1000,0)</f>
        <v>57600</v>
      </c>
      <c r="S48" s="1105"/>
      <c r="T48" s="1107"/>
    </row>
    <row r="49" spans="1:20" ht="18" customHeight="1">
      <c r="A49" s="402"/>
      <c r="B49" s="949"/>
      <c r="C49" s="949"/>
      <c r="D49" s="949"/>
      <c r="E49" s="949"/>
      <c r="F49" s="952"/>
      <c r="G49" s="952"/>
      <c r="H49" s="683"/>
      <c r="I49" s="1910"/>
      <c r="J49" s="590"/>
      <c r="K49" s="1066" t="s">
        <v>1286</v>
      </c>
      <c r="L49" s="996"/>
      <c r="M49" s="666">
        <f>SUM(M50:M53)</f>
        <v>158544</v>
      </c>
      <c r="N49" s="1108"/>
      <c r="O49" s="1104"/>
      <c r="P49" s="1104"/>
      <c r="Q49" s="1105"/>
      <c r="R49" s="1106"/>
      <c r="S49" s="1105"/>
      <c r="T49" s="1107"/>
    </row>
    <row r="50" spans="1:20" ht="18" customHeight="1">
      <c r="A50" s="402"/>
      <c r="B50" s="949"/>
      <c r="C50" s="949"/>
      <c r="D50" s="949"/>
      <c r="E50" s="949"/>
      <c r="F50" s="952"/>
      <c r="G50" s="952"/>
      <c r="H50" s="683"/>
      <c r="I50" s="1910"/>
      <c r="J50" s="590"/>
      <c r="K50" s="1066" t="s">
        <v>1287</v>
      </c>
      <c r="L50" s="996" t="s">
        <v>242</v>
      </c>
      <c r="M50" s="666">
        <f>R50</f>
        <v>8748</v>
      </c>
      <c r="N50" s="1108"/>
      <c r="O50" s="1104">
        <v>27000</v>
      </c>
      <c r="P50" s="1104">
        <v>27</v>
      </c>
      <c r="Q50" s="1105">
        <v>12</v>
      </c>
      <c r="R50" s="1106">
        <f>ROUNDUP(O50*P50*Q50/1000,0)</f>
        <v>8748</v>
      </c>
      <c r="S50" s="1105"/>
      <c r="T50" s="1107"/>
    </row>
    <row r="51" spans="1:20" ht="18" customHeight="1">
      <c r="A51" s="402"/>
      <c r="B51" s="949"/>
      <c r="C51" s="949"/>
      <c r="D51" s="949"/>
      <c r="E51" s="949"/>
      <c r="F51" s="952"/>
      <c r="G51" s="952"/>
      <c r="H51" s="683"/>
      <c r="I51" s="1910"/>
      <c r="J51" s="590"/>
      <c r="K51" s="1066" t="s">
        <v>1288</v>
      </c>
      <c r="L51" s="996" t="s">
        <v>242</v>
      </c>
      <c r="M51" s="666">
        <f t="shared" ref="M51:M53" si="7">R51</f>
        <v>53460</v>
      </c>
      <c r="N51" s="1108"/>
      <c r="O51" s="1104">
        <v>45000</v>
      </c>
      <c r="P51" s="1104">
        <v>99</v>
      </c>
      <c r="Q51" s="1105">
        <v>12</v>
      </c>
      <c r="R51" s="1106">
        <f>ROUNDUP(O51*P51*Q51/1000,0)</f>
        <v>53460</v>
      </c>
      <c r="S51" s="2415" t="s">
        <v>1467</v>
      </c>
      <c r="T51" s="2416"/>
    </row>
    <row r="52" spans="1:20" ht="18" customHeight="1">
      <c r="A52" s="402"/>
      <c r="B52" s="949"/>
      <c r="C52" s="949"/>
      <c r="D52" s="949"/>
      <c r="E52" s="949"/>
      <c r="F52" s="952"/>
      <c r="G52" s="952"/>
      <c r="H52" s="683"/>
      <c r="I52" s="1910"/>
      <c r="J52" s="590"/>
      <c r="K52" s="1066" t="s">
        <v>1289</v>
      </c>
      <c r="L52" s="996" t="s">
        <v>242</v>
      </c>
      <c r="M52" s="666">
        <f t="shared" si="7"/>
        <v>84240</v>
      </c>
      <c r="N52" s="1108"/>
      <c r="O52" s="1104">
        <v>54000</v>
      </c>
      <c r="P52" s="1104">
        <v>130</v>
      </c>
      <c r="Q52" s="1105">
        <v>12</v>
      </c>
      <c r="R52" s="1106">
        <f>ROUNDUP(O52*P52*Q52/1000,0)</f>
        <v>84240</v>
      </c>
      <c r="S52" s="1105"/>
      <c r="T52" s="1107"/>
    </row>
    <row r="53" spans="1:20" ht="18" customHeight="1">
      <c r="A53" s="402"/>
      <c r="B53" s="949"/>
      <c r="C53" s="949"/>
      <c r="D53" s="949"/>
      <c r="E53" s="949"/>
      <c r="F53" s="952"/>
      <c r="G53" s="952"/>
      <c r="H53" s="683"/>
      <c r="I53" s="1910"/>
      <c r="J53" s="590"/>
      <c r="K53" s="1066" t="s">
        <v>1290</v>
      </c>
      <c r="L53" s="996" t="s">
        <v>242</v>
      </c>
      <c r="M53" s="666">
        <f t="shared" si="7"/>
        <v>12096</v>
      </c>
      <c r="N53" s="1108"/>
      <c r="O53" s="1104">
        <v>72000</v>
      </c>
      <c r="P53" s="1104">
        <v>14</v>
      </c>
      <c r="Q53" s="1105">
        <v>12</v>
      </c>
      <c r="R53" s="1106">
        <f>ROUNDUP(O53*P53*Q53/1000,0)</f>
        <v>12096</v>
      </c>
      <c r="S53" s="1105"/>
      <c r="T53" s="1107"/>
    </row>
    <row r="54" spans="1:20" ht="18" customHeight="1">
      <c r="A54" s="402"/>
      <c r="B54" s="949"/>
      <c r="C54" s="949"/>
      <c r="D54" s="949"/>
      <c r="E54" s="949"/>
      <c r="F54" s="952"/>
      <c r="G54" s="949"/>
      <c r="H54" s="683"/>
      <c r="I54" s="1910"/>
      <c r="J54" s="590"/>
      <c r="K54" s="1066" t="s">
        <v>1264</v>
      </c>
      <c r="L54" s="440"/>
      <c r="M54" s="666">
        <f>SUM(M55:M57)</f>
        <v>5225760</v>
      </c>
      <c r="N54" s="1108"/>
      <c r="O54" s="1104"/>
      <c r="P54" s="1104"/>
      <c r="Q54" s="1105"/>
      <c r="R54" s="1105"/>
      <c r="S54" s="1105"/>
      <c r="T54" s="1107"/>
    </row>
    <row r="55" spans="1:20" ht="18" customHeight="1">
      <c r="A55" s="402"/>
      <c r="B55" s="949"/>
      <c r="C55" s="949"/>
      <c r="D55" s="949"/>
      <c r="E55" s="949"/>
      <c r="F55" s="952"/>
      <c r="G55" s="954"/>
      <c r="H55" s="683"/>
      <c r="I55" s="1910"/>
      <c r="J55" s="590"/>
      <c r="K55" s="1008" t="s">
        <v>1291</v>
      </c>
      <c r="L55" s="440" t="s">
        <v>464</v>
      </c>
      <c r="M55" s="666">
        <f>T55</f>
        <v>109440</v>
      </c>
      <c r="N55" s="1108"/>
      <c r="O55" s="1104">
        <v>19000</v>
      </c>
      <c r="P55" s="1109">
        <v>1.5</v>
      </c>
      <c r="Q55" s="1105">
        <v>4</v>
      </c>
      <c r="R55" s="1105">
        <v>80</v>
      </c>
      <c r="S55" s="1105">
        <v>12</v>
      </c>
      <c r="T55" s="1107">
        <f>ROUNDUP(O55*P55*Q55*R55*S55/1000,0)</f>
        <v>109440</v>
      </c>
    </row>
    <row r="56" spans="1:20" ht="18" customHeight="1">
      <c r="A56" s="402"/>
      <c r="B56" s="949"/>
      <c r="C56" s="949"/>
      <c r="D56" s="949"/>
      <c r="E56" s="949"/>
      <c r="F56" s="952"/>
      <c r="G56" s="949"/>
      <c r="H56" s="683"/>
      <c r="I56" s="1910"/>
      <c r="J56" s="590"/>
      <c r="K56" s="1008" t="s">
        <v>1292</v>
      </c>
      <c r="L56" s="440" t="s">
        <v>464</v>
      </c>
      <c r="M56" s="666">
        <f t="shared" ref="M56:M57" si="8">T56</f>
        <v>4341120</v>
      </c>
      <c r="N56" s="1108"/>
      <c r="O56" s="1104">
        <v>19000</v>
      </c>
      <c r="P56" s="1109">
        <v>1.5</v>
      </c>
      <c r="Q56" s="1105">
        <v>8</v>
      </c>
      <c r="R56" s="1105">
        <v>272</v>
      </c>
      <c r="S56" s="1105">
        <v>70</v>
      </c>
      <c r="T56" s="1107">
        <f>ROUNDUP(O56*P56*Q56*R56*S56/1000,0)</f>
        <v>4341120</v>
      </c>
    </row>
    <row r="57" spans="1:20" ht="18" customHeight="1">
      <c r="A57" s="402"/>
      <c r="B57" s="949"/>
      <c r="C57" s="949"/>
      <c r="D57" s="949"/>
      <c r="E57" s="949"/>
      <c r="F57" s="952"/>
      <c r="G57" s="949"/>
      <c r="H57" s="683"/>
      <c r="I57" s="1910"/>
      <c r="J57" s="590"/>
      <c r="K57" s="1008" t="s">
        <v>1293</v>
      </c>
      <c r="L57" s="440" t="s">
        <v>464</v>
      </c>
      <c r="M57" s="666">
        <f t="shared" si="8"/>
        <v>775200</v>
      </c>
      <c r="N57" s="1108"/>
      <c r="O57" s="1104">
        <v>19000</v>
      </c>
      <c r="P57" s="1109">
        <v>0.5</v>
      </c>
      <c r="Q57" s="1105">
        <v>1</v>
      </c>
      <c r="R57" s="1105">
        <v>272</v>
      </c>
      <c r="S57" s="1105">
        <v>300</v>
      </c>
      <c r="T57" s="1107">
        <f>ROUNDUP(O57*P57*Q57*R57*S57/1000,0)</f>
        <v>775200</v>
      </c>
    </row>
    <row r="58" spans="1:20" ht="18" customHeight="1">
      <c r="A58" s="402"/>
      <c r="B58" s="949"/>
      <c r="C58" s="949"/>
      <c r="D58" s="949"/>
      <c r="E58" s="949"/>
      <c r="F58" s="952"/>
      <c r="G58" s="949"/>
      <c r="H58" s="683"/>
      <c r="I58" s="1910"/>
      <c r="J58" s="590"/>
      <c r="K58" s="1008" t="s">
        <v>1294</v>
      </c>
      <c r="L58" s="440" t="s">
        <v>242</v>
      </c>
      <c r="M58" s="666">
        <f>R58</f>
        <v>547200</v>
      </c>
      <c r="N58" s="1108"/>
      <c r="O58" s="1104">
        <v>152000</v>
      </c>
      <c r="P58" s="1104">
        <v>200</v>
      </c>
      <c r="Q58" s="1105">
        <v>18</v>
      </c>
      <c r="R58" s="1106">
        <f>ROUNDUP(O58*P58*Q58/1000,0)</f>
        <v>547200</v>
      </c>
      <c r="S58" s="1105"/>
      <c r="T58" s="1107"/>
    </row>
    <row r="59" spans="1:20" ht="18" customHeight="1">
      <c r="A59" s="402"/>
      <c r="B59" s="949"/>
      <c r="C59" s="949"/>
      <c r="D59" s="949"/>
      <c r="E59" s="949"/>
      <c r="F59" s="952"/>
      <c r="G59" s="952"/>
      <c r="H59" s="683"/>
      <c r="I59" s="1910"/>
      <c r="J59" s="590"/>
      <c r="K59" s="1066" t="s">
        <v>1295</v>
      </c>
      <c r="L59" s="996" t="s">
        <v>464</v>
      </c>
      <c r="M59" s="666">
        <f>R59</f>
        <v>824190</v>
      </c>
      <c r="N59" s="1108"/>
      <c r="O59" s="1104">
        <f>SUM($O$35:$O$38)</f>
        <v>2525090</v>
      </c>
      <c r="P59" s="1104">
        <v>272</v>
      </c>
      <c r="Q59" s="1117">
        <v>1.2</v>
      </c>
      <c r="R59" s="1106">
        <f>ROUNDUP(O59*P59*Q59/1000,0)</f>
        <v>824190</v>
      </c>
      <c r="S59" s="1105"/>
      <c r="T59" s="1107"/>
    </row>
    <row r="60" spans="1:20" ht="18" customHeight="1">
      <c r="A60" s="402"/>
      <c r="B60" s="949"/>
      <c r="C60" s="949"/>
      <c r="D60" s="949"/>
      <c r="E60" s="949"/>
      <c r="F60" s="952"/>
      <c r="G60" s="952"/>
      <c r="H60" s="683"/>
      <c r="I60" s="1910"/>
      <c r="J60" s="590"/>
      <c r="K60" s="1066" t="s">
        <v>1296</v>
      </c>
      <c r="L60" s="996"/>
      <c r="M60" s="666">
        <f>SUM(M61:M62)</f>
        <v>28800</v>
      </c>
      <c r="N60" s="1108"/>
      <c r="O60" s="1104"/>
      <c r="P60" s="1104"/>
      <c r="Q60" s="1105"/>
      <c r="R60" s="1106"/>
      <c r="S60" s="1105"/>
      <c r="T60" s="1107"/>
    </row>
    <row r="61" spans="1:20" ht="18" customHeight="1">
      <c r="A61" s="402"/>
      <c r="B61" s="949"/>
      <c r="C61" s="949"/>
      <c r="D61" s="949"/>
      <c r="E61" s="949"/>
      <c r="F61" s="952"/>
      <c r="G61" s="952"/>
      <c r="H61" s="683"/>
      <c r="I61" s="1910"/>
      <c r="J61" s="590"/>
      <c r="K61" s="1008" t="s">
        <v>1297</v>
      </c>
      <c r="L61" s="440" t="s">
        <v>464</v>
      </c>
      <c r="M61" s="666">
        <f>R61</f>
        <v>16800</v>
      </c>
      <c r="N61" s="1108"/>
      <c r="O61" s="1104">
        <v>10000</v>
      </c>
      <c r="P61" s="1104">
        <v>140</v>
      </c>
      <c r="Q61" s="1105">
        <v>12</v>
      </c>
      <c r="R61" s="1106">
        <f>ROUNDUP(O61*P61*Q61/1000,0)</f>
        <v>16800</v>
      </c>
      <c r="S61" s="1105"/>
      <c r="T61" s="1107"/>
    </row>
    <row r="62" spans="1:20" ht="18" customHeight="1">
      <c r="A62" s="402"/>
      <c r="B62" s="949"/>
      <c r="C62" s="949"/>
      <c r="D62" s="949"/>
      <c r="E62" s="949"/>
      <c r="F62" s="952"/>
      <c r="G62" s="952"/>
      <c r="H62" s="683"/>
      <c r="I62" s="1910"/>
      <c r="J62" s="590"/>
      <c r="K62" s="1008" t="s">
        <v>1298</v>
      </c>
      <c r="L62" s="440" t="s">
        <v>464</v>
      </c>
      <c r="M62" s="666">
        <f t="shared" ref="M62:M64" si="9">R62</f>
        <v>12000</v>
      </c>
      <c r="N62" s="1108"/>
      <c r="O62" s="1104">
        <v>20000</v>
      </c>
      <c r="P62" s="1104">
        <v>50</v>
      </c>
      <c r="Q62" s="1105">
        <v>12</v>
      </c>
      <c r="R62" s="1106">
        <f>ROUNDUP(O62*P62*Q62/1000,0)</f>
        <v>12000</v>
      </c>
      <c r="S62" s="1105"/>
      <c r="T62" s="1107"/>
    </row>
    <row r="63" spans="1:20" ht="18" customHeight="1">
      <c r="A63" s="402"/>
      <c r="B63" s="949"/>
      <c r="C63" s="949"/>
      <c r="D63" s="949"/>
      <c r="E63" s="949"/>
      <c r="F63" s="952"/>
      <c r="G63" s="952"/>
      <c r="H63" s="683"/>
      <c r="I63" s="1910"/>
      <c r="J63" s="590"/>
      <c r="K63" s="1066" t="s">
        <v>1299</v>
      </c>
      <c r="L63" s="996" t="s">
        <v>242</v>
      </c>
      <c r="M63" s="666">
        <f t="shared" si="9"/>
        <v>13200</v>
      </c>
      <c r="N63" s="1108"/>
      <c r="O63" s="1104">
        <v>100000</v>
      </c>
      <c r="P63" s="1104">
        <v>11</v>
      </c>
      <c r="Q63" s="1105">
        <v>12</v>
      </c>
      <c r="R63" s="1106">
        <f>ROUNDUP(O63*P63*Q63/1000,0)</f>
        <v>13200</v>
      </c>
      <c r="S63" s="1105"/>
      <c r="T63" s="1107"/>
    </row>
    <row r="64" spans="1:20" ht="18" customHeight="1">
      <c r="A64" s="402"/>
      <c r="B64" s="949"/>
      <c r="C64" s="949"/>
      <c r="D64" s="949"/>
      <c r="E64" s="949"/>
      <c r="F64" s="952"/>
      <c r="G64" s="952"/>
      <c r="H64" s="1871"/>
      <c r="I64" s="1911"/>
      <c r="J64" s="595"/>
      <c r="K64" s="1066" t="s">
        <v>1300</v>
      </c>
      <c r="L64" s="996" t="s">
        <v>242</v>
      </c>
      <c r="M64" s="666">
        <f t="shared" si="9"/>
        <v>26880</v>
      </c>
      <c r="N64" s="1108"/>
      <c r="O64" s="1104">
        <v>40000</v>
      </c>
      <c r="P64" s="1104">
        <v>56</v>
      </c>
      <c r="Q64" s="1105">
        <v>12</v>
      </c>
      <c r="R64" s="1106">
        <f>ROUNDUP(O64*P64*Q64/1000,0)</f>
        <v>26880</v>
      </c>
      <c r="S64" s="1105"/>
      <c r="T64" s="1107"/>
    </row>
    <row r="65" spans="1:20" ht="18" customHeight="1">
      <c r="A65" s="402"/>
      <c r="B65" s="949"/>
      <c r="C65" s="949"/>
      <c r="D65" s="949"/>
      <c r="E65" s="949"/>
      <c r="F65" s="952"/>
      <c r="G65" s="953" t="s">
        <v>1227</v>
      </c>
      <c r="H65" s="1876">
        <f>M65</f>
        <v>72194</v>
      </c>
      <c r="I65" s="1912">
        <v>72194</v>
      </c>
      <c r="J65" s="590">
        <f>H65-I65</f>
        <v>0</v>
      </c>
      <c r="K65" s="1069" t="s">
        <v>1301</v>
      </c>
      <c r="L65" s="998"/>
      <c r="M65" s="1827">
        <f>M67+M68</f>
        <v>72194</v>
      </c>
      <c r="N65" s="1108"/>
      <c r="O65" s="1104"/>
      <c r="P65" s="1104"/>
      <c r="Q65" s="1105"/>
      <c r="R65" s="1105"/>
      <c r="S65" s="1105"/>
      <c r="T65" s="1107"/>
    </row>
    <row r="66" spans="1:20" ht="18" customHeight="1">
      <c r="A66" s="402"/>
      <c r="B66" s="949"/>
      <c r="C66" s="949"/>
      <c r="D66" s="949"/>
      <c r="E66" s="949"/>
      <c r="F66" s="952"/>
      <c r="G66" s="952"/>
      <c r="H66" s="683"/>
      <c r="I66" s="1909"/>
      <c r="J66" s="590"/>
      <c r="K66" s="1070" t="s">
        <v>1302</v>
      </c>
      <c r="L66" s="996"/>
      <c r="M66" s="666"/>
      <c r="N66" s="2417"/>
      <c r="O66" s="2418"/>
      <c r="P66" s="1104"/>
      <c r="Q66" s="1105"/>
      <c r="R66" s="1105"/>
      <c r="S66" s="1105"/>
      <c r="T66" s="1107"/>
    </row>
    <row r="67" spans="1:20" ht="18" customHeight="1">
      <c r="A67" s="402"/>
      <c r="B67" s="949"/>
      <c r="C67" s="949"/>
      <c r="D67" s="949"/>
      <c r="E67" s="949"/>
      <c r="F67" s="952"/>
      <c r="G67" s="952"/>
      <c r="H67" s="683"/>
      <c r="I67" s="1909"/>
      <c r="J67" s="590"/>
      <c r="K67" s="778" t="s">
        <v>1303</v>
      </c>
      <c r="L67" s="996" t="s">
        <v>464</v>
      </c>
      <c r="M67" s="666">
        <f>S67</f>
        <v>66962</v>
      </c>
      <c r="N67" s="1108"/>
      <c r="O67" s="1104">
        <v>174380</v>
      </c>
      <c r="P67" s="1104">
        <v>2</v>
      </c>
      <c r="Q67" s="1105">
        <v>16</v>
      </c>
      <c r="R67" s="1105">
        <v>12</v>
      </c>
      <c r="S67" s="1106">
        <f>ROUNDUP(O67*P67*Q67*R67/1000,0)</f>
        <v>66962</v>
      </c>
      <c r="T67" s="1107"/>
    </row>
    <row r="68" spans="1:20" ht="18" customHeight="1">
      <c r="A68" s="402"/>
      <c r="B68" s="949"/>
      <c r="C68" s="949"/>
      <c r="D68" s="949"/>
      <c r="E68" s="949"/>
      <c r="F68" s="952"/>
      <c r="G68" s="952"/>
      <c r="H68" s="683"/>
      <c r="I68" s="1909"/>
      <c r="J68" s="590"/>
      <c r="K68" s="778" t="s">
        <v>1304</v>
      </c>
      <c r="L68" s="996" t="s">
        <v>464</v>
      </c>
      <c r="M68" s="666">
        <f>R68</f>
        <v>5232</v>
      </c>
      <c r="N68" s="1108"/>
      <c r="O68" s="1104">
        <v>174380</v>
      </c>
      <c r="P68" s="1104">
        <v>2</v>
      </c>
      <c r="Q68" s="1105">
        <v>15</v>
      </c>
      <c r="R68" s="1106">
        <f>ROUNDUP(O68*P68*Q68/1000,0)</f>
        <v>5232</v>
      </c>
      <c r="S68" s="1105"/>
      <c r="T68" s="1107"/>
    </row>
    <row r="69" spans="1:20" ht="18" customHeight="1">
      <c r="A69" s="402"/>
      <c r="B69" s="949"/>
      <c r="C69" s="949"/>
      <c r="D69" s="949"/>
      <c r="E69" s="341" t="s">
        <v>987</v>
      </c>
      <c r="F69" s="955"/>
      <c r="G69" s="956"/>
      <c r="H69" s="1856">
        <f>H70+H134+H143+H146</f>
        <v>1890455</v>
      </c>
      <c r="I69" s="1913">
        <v>1952922</v>
      </c>
      <c r="J69" s="601">
        <f>H69-I69</f>
        <v>-62467</v>
      </c>
      <c r="K69" s="999"/>
      <c r="L69" s="1000"/>
      <c r="M69" s="668"/>
      <c r="N69" s="1108"/>
      <c r="O69" s="1104"/>
      <c r="P69" s="1104"/>
      <c r="Q69" s="1105"/>
      <c r="R69" s="1105"/>
      <c r="S69" s="1105"/>
      <c r="T69" s="1107"/>
    </row>
    <row r="70" spans="1:20" ht="18" customHeight="1">
      <c r="A70" s="402"/>
      <c r="B70" s="949"/>
      <c r="C70" s="949"/>
      <c r="D70" s="949"/>
      <c r="E70" s="949"/>
      <c r="F70" s="951" t="s">
        <v>402</v>
      </c>
      <c r="G70" s="951"/>
      <c r="H70" s="683">
        <f>H71+H97+H99+H107+H118+H126</f>
        <v>1829234</v>
      </c>
      <c r="I70" s="1908">
        <v>1905562</v>
      </c>
      <c r="J70" s="595">
        <f>H70-I70</f>
        <v>-76328</v>
      </c>
      <c r="K70" s="1001"/>
      <c r="L70" s="1002"/>
      <c r="M70" s="666"/>
      <c r="N70" s="1108"/>
      <c r="O70" s="1104"/>
      <c r="P70" s="1104"/>
      <c r="Q70" s="1105"/>
      <c r="R70" s="1105"/>
      <c r="S70" s="1105"/>
      <c r="T70" s="1107"/>
    </row>
    <row r="71" spans="1:20" ht="18" customHeight="1">
      <c r="A71" s="402"/>
      <c r="B71" s="403"/>
      <c r="C71" s="403"/>
      <c r="D71" s="949"/>
      <c r="E71" s="949"/>
      <c r="F71" s="950"/>
      <c r="G71" s="950" t="s">
        <v>1228</v>
      </c>
      <c r="H71" s="1876">
        <f>M71</f>
        <v>38039</v>
      </c>
      <c r="I71" s="1914">
        <v>49295</v>
      </c>
      <c r="J71" s="590">
        <f>H71-I71</f>
        <v>-11256</v>
      </c>
      <c r="K71" s="1013" t="s">
        <v>989</v>
      </c>
      <c r="L71" s="1003"/>
      <c r="M71" s="1827">
        <f>M72+M83+M90+M91+M92+M93+M94+M95+M96</f>
        <v>38039</v>
      </c>
      <c r="N71" s="1108"/>
      <c r="O71" s="1104"/>
      <c r="P71" s="1104"/>
      <c r="Q71" s="1105"/>
      <c r="R71" s="1105"/>
      <c r="S71" s="1105"/>
      <c r="T71" s="1107"/>
    </row>
    <row r="72" spans="1:20" ht="18" customHeight="1">
      <c r="A72" s="402"/>
      <c r="B72" s="403"/>
      <c r="C72" s="403"/>
      <c r="D72" s="403"/>
      <c r="E72" s="403"/>
      <c r="F72" s="403"/>
      <c r="G72" s="403"/>
      <c r="H72" s="683"/>
      <c r="I72" s="1909"/>
      <c r="J72" s="590"/>
      <c r="K72" s="1004" t="s">
        <v>1305</v>
      </c>
      <c r="L72" s="1005"/>
      <c r="M72" s="1824">
        <f>SUM(M73:M82)</f>
        <v>15070</v>
      </c>
      <c r="N72" s="1108"/>
      <c r="O72" s="1104"/>
      <c r="P72" s="1104"/>
      <c r="Q72" s="1105"/>
      <c r="R72" s="1105"/>
      <c r="S72" s="1105"/>
      <c r="T72" s="1107"/>
    </row>
    <row r="73" spans="1:20" ht="18" customHeight="1">
      <c r="A73" s="402"/>
      <c r="B73" s="403"/>
      <c r="C73" s="403"/>
      <c r="D73" s="403"/>
      <c r="E73" s="403"/>
      <c r="F73" s="403"/>
      <c r="G73" s="403"/>
      <c r="H73" s="683"/>
      <c r="I73" s="1909"/>
      <c r="J73" s="590"/>
      <c r="K73" s="1006" t="s">
        <v>1306</v>
      </c>
      <c r="L73" s="1005" t="s">
        <v>464</v>
      </c>
      <c r="M73" s="666">
        <f>R73</f>
        <v>2400</v>
      </c>
      <c r="N73" s="1108"/>
      <c r="O73" s="1104">
        <v>4000</v>
      </c>
      <c r="P73" s="1104">
        <v>200</v>
      </c>
      <c r="Q73" s="1105">
        <v>3</v>
      </c>
      <c r="R73" s="1106">
        <f t="shared" ref="R73:R79" si="10">ROUNDUP(O73*P73*Q73/1000,0)</f>
        <v>2400</v>
      </c>
      <c r="S73" s="1106"/>
      <c r="T73" s="1107"/>
    </row>
    <row r="74" spans="1:20" ht="18" customHeight="1">
      <c r="A74" s="402"/>
      <c r="B74" s="403"/>
      <c r="C74" s="403"/>
      <c r="D74" s="403"/>
      <c r="E74" s="403"/>
      <c r="F74" s="403"/>
      <c r="G74" s="403"/>
      <c r="H74" s="683"/>
      <c r="I74" s="1909"/>
      <c r="J74" s="590"/>
      <c r="K74" s="1006" t="s">
        <v>1307</v>
      </c>
      <c r="L74" s="1005" t="s">
        <v>242</v>
      </c>
      <c r="M74" s="666">
        <f t="shared" ref="M74:M79" si="11">R74</f>
        <v>1560</v>
      </c>
      <c r="N74" s="1108"/>
      <c r="O74" s="1104">
        <v>6500</v>
      </c>
      <c r="P74" s="1104">
        <v>80</v>
      </c>
      <c r="Q74" s="1105">
        <v>3</v>
      </c>
      <c r="R74" s="1106">
        <f t="shared" si="10"/>
        <v>1560</v>
      </c>
      <c r="S74" s="1105"/>
      <c r="T74" s="1107"/>
    </row>
    <row r="75" spans="1:20" ht="18" customHeight="1">
      <c r="A75" s="402"/>
      <c r="B75" s="403"/>
      <c r="C75" s="403"/>
      <c r="D75" s="403"/>
      <c r="E75" s="403"/>
      <c r="F75" s="403"/>
      <c r="G75" s="403"/>
      <c r="H75" s="683"/>
      <c r="I75" s="1909"/>
      <c r="J75" s="590"/>
      <c r="K75" s="1007" t="s">
        <v>1308</v>
      </c>
      <c r="L75" s="1005" t="s">
        <v>464</v>
      </c>
      <c r="M75" s="666">
        <f t="shared" si="11"/>
        <v>1680</v>
      </c>
      <c r="N75" s="1108"/>
      <c r="O75" s="1104">
        <v>8000</v>
      </c>
      <c r="P75" s="1104">
        <v>70</v>
      </c>
      <c r="Q75" s="1105">
        <v>3</v>
      </c>
      <c r="R75" s="1106">
        <f t="shared" si="10"/>
        <v>1680</v>
      </c>
      <c r="S75" s="1105"/>
      <c r="T75" s="1107"/>
    </row>
    <row r="76" spans="1:20" ht="18" customHeight="1">
      <c r="A76" s="402"/>
      <c r="B76" s="403"/>
      <c r="C76" s="403"/>
      <c r="D76" s="403"/>
      <c r="E76" s="403"/>
      <c r="F76" s="403"/>
      <c r="G76" s="403"/>
      <c r="H76" s="683"/>
      <c r="I76" s="1909"/>
      <c r="J76" s="590"/>
      <c r="K76" s="1008" t="s">
        <v>1309</v>
      </c>
      <c r="L76" s="1009" t="s">
        <v>464</v>
      </c>
      <c r="M76" s="666">
        <f t="shared" si="11"/>
        <v>600</v>
      </c>
      <c r="N76" s="1108"/>
      <c r="O76" s="1104">
        <v>600</v>
      </c>
      <c r="P76" s="1104">
        <v>1000</v>
      </c>
      <c r="Q76" s="1105">
        <v>1</v>
      </c>
      <c r="R76" s="1106">
        <f t="shared" si="10"/>
        <v>600</v>
      </c>
      <c r="S76" s="1118"/>
      <c r="T76" s="1119"/>
    </row>
    <row r="77" spans="1:20" ht="18" customHeight="1">
      <c r="A77" s="402"/>
      <c r="B77" s="403"/>
      <c r="C77" s="403"/>
      <c r="D77" s="403"/>
      <c r="E77" s="403"/>
      <c r="F77" s="403"/>
      <c r="G77" s="403"/>
      <c r="H77" s="683"/>
      <c r="I77" s="1909"/>
      <c r="J77" s="590"/>
      <c r="K77" s="1006" t="s">
        <v>1310</v>
      </c>
      <c r="L77" s="1005" t="s">
        <v>464</v>
      </c>
      <c r="M77" s="666">
        <f t="shared" si="11"/>
        <v>600</v>
      </c>
      <c r="N77" s="1108"/>
      <c r="O77" s="1104">
        <v>6000</v>
      </c>
      <c r="P77" s="1104">
        <v>100</v>
      </c>
      <c r="Q77" s="1105">
        <v>1</v>
      </c>
      <c r="R77" s="1105">
        <f t="shared" si="10"/>
        <v>600</v>
      </c>
      <c r="S77" s="1118"/>
      <c r="T77" s="1119"/>
    </row>
    <row r="78" spans="1:20" ht="18" customHeight="1">
      <c r="A78" s="402"/>
      <c r="B78" s="403"/>
      <c r="C78" s="403"/>
      <c r="D78" s="403"/>
      <c r="E78" s="403"/>
      <c r="F78" s="403"/>
      <c r="G78" s="403"/>
      <c r="H78" s="683"/>
      <c r="I78" s="1909"/>
      <c r="J78" s="590"/>
      <c r="K78" s="1008" t="s">
        <v>1311</v>
      </c>
      <c r="L78" s="1009" t="s">
        <v>464</v>
      </c>
      <c r="M78" s="666">
        <f t="shared" si="11"/>
        <v>330</v>
      </c>
      <c r="N78" s="1108"/>
      <c r="O78" s="1104">
        <v>33000</v>
      </c>
      <c r="P78" s="1104">
        <v>10</v>
      </c>
      <c r="Q78" s="1118">
        <v>1</v>
      </c>
      <c r="R78" s="1118">
        <f t="shared" si="10"/>
        <v>330</v>
      </c>
      <c r="S78" s="1120"/>
      <c r="T78" s="1121"/>
    </row>
    <row r="79" spans="1:20" ht="18" customHeight="1">
      <c r="A79" s="402"/>
      <c r="B79" s="403"/>
      <c r="C79" s="403"/>
      <c r="D79" s="403"/>
      <c r="E79" s="403"/>
      <c r="F79" s="403"/>
      <c r="G79" s="403"/>
      <c r="H79" s="683"/>
      <c r="I79" s="1909"/>
      <c r="J79" s="590"/>
      <c r="K79" s="1010" t="s">
        <v>1312</v>
      </c>
      <c r="L79" s="1009" t="s">
        <v>464</v>
      </c>
      <c r="M79" s="666">
        <f t="shared" si="11"/>
        <v>2500</v>
      </c>
      <c r="N79" s="1108"/>
      <c r="O79" s="1104">
        <v>50000</v>
      </c>
      <c r="P79" s="1104">
        <v>50</v>
      </c>
      <c r="Q79" s="1118">
        <v>1</v>
      </c>
      <c r="R79" s="1118">
        <f t="shared" si="10"/>
        <v>2500</v>
      </c>
      <c r="S79" s="1120"/>
      <c r="T79" s="1121"/>
    </row>
    <row r="80" spans="1:20" ht="18" customHeight="1">
      <c r="A80" s="402"/>
      <c r="B80" s="403"/>
      <c r="C80" s="403"/>
      <c r="D80" s="403"/>
      <c r="E80" s="403"/>
      <c r="F80" s="403"/>
      <c r="G80" s="403"/>
      <c r="H80" s="683"/>
      <c r="I80" s="1909"/>
      <c r="J80" s="590"/>
      <c r="K80" s="1010" t="s">
        <v>1313</v>
      </c>
      <c r="L80" s="1009" t="s">
        <v>464</v>
      </c>
      <c r="M80" s="666">
        <f>S80</f>
        <v>1000</v>
      </c>
      <c r="N80" s="1108"/>
      <c r="O80" s="1104">
        <v>10000</v>
      </c>
      <c r="P80" s="1104">
        <v>50</v>
      </c>
      <c r="Q80" s="1120">
        <v>2</v>
      </c>
      <c r="R80" s="1120">
        <v>1</v>
      </c>
      <c r="S80" s="1105">
        <f>ROUNDUP(O80*P80*Q80*R80/1000,0)</f>
        <v>1000</v>
      </c>
      <c r="T80" s="1119"/>
    </row>
    <row r="81" spans="1:20" ht="18" customHeight="1">
      <c r="A81" s="402"/>
      <c r="B81" s="403"/>
      <c r="C81" s="403"/>
      <c r="D81" s="403"/>
      <c r="E81" s="403"/>
      <c r="F81" s="403"/>
      <c r="G81" s="403"/>
      <c r="H81" s="683"/>
      <c r="I81" s="1909"/>
      <c r="J81" s="590"/>
      <c r="K81" s="1010" t="s">
        <v>1314</v>
      </c>
      <c r="L81" s="1009" t="s">
        <v>464</v>
      </c>
      <c r="M81" s="666">
        <f>R81</f>
        <v>800</v>
      </c>
      <c r="N81" s="1108"/>
      <c r="O81" s="1104">
        <v>50000</v>
      </c>
      <c r="P81" s="1104">
        <v>16</v>
      </c>
      <c r="Q81" s="1120">
        <v>1</v>
      </c>
      <c r="R81" s="1105">
        <f>ROUNDUP(O81*P81*Q81/1000,0)</f>
        <v>800</v>
      </c>
      <c r="S81" s="1120"/>
      <c r="T81" s="1122"/>
    </row>
    <row r="82" spans="1:20" ht="18" customHeight="1">
      <c r="A82" s="402"/>
      <c r="B82" s="403"/>
      <c r="C82" s="403"/>
      <c r="D82" s="403"/>
      <c r="E82" s="403"/>
      <c r="F82" s="403"/>
      <c r="G82" s="403"/>
      <c r="H82" s="683"/>
      <c r="I82" s="1909"/>
      <c r="J82" s="590"/>
      <c r="K82" s="1007" t="s">
        <v>1315</v>
      </c>
      <c r="L82" s="1005" t="s">
        <v>464</v>
      </c>
      <c r="M82" s="666">
        <f>R82</f>
        <v>3600</v>
      </c>
      <c r="N82" s="1108"/>
      <c r="O82" s="1104">
        <v>300000</v>
      </c>
      <c r="P82" s="1104">
        <v>1</v>
      </c>
      <c r="Q82" s="1118">
        <v>12</v>
      </c>
      <c r="R82" s="1105">
        <f>ROUNDUP(O82*P82*Q82/1000,0)</f>
        <v>3600</v>
      </c>
      <c r="S82" s="1120"/>
      <c r="T82" s="1122"/>
    </row>
    <row r="83" spans="1:20" ht="18" customHeight="1">
      <c r="A83" s="402"/>
      <c r="B83" s="403"/>
      <c r="C83" s="403"/>
      <c r="D83" s="403"/>
      <c r="E83" s="403"/>
      <c r="F83" s="403"/>
      <c r="G83" s="403"/>
      <c r="H83" s="683"/>
      <c r="I83" s="1909"/>
      <c r="J83" s="590"/>
      <c r="K83" s="1011" t="s">
        <v>1316</v>
      </c>
      <c r="L83" s="1005"/>
      <c r="M83" s="1824">
        <f>SUM(M84:M89)</f>
        <v>12880</v>
      </c>
      <c r="N83" s="1108"/>
      <c r="O83" s="1104"/>
      <c r="P83" s="1104"/>
      <c r="Q83" s="1120"/>
      <c r="R83" s="1120"/>
      <c r="S83" s="1120"/>
      <c r="T83" s="1121"/>
    </row>
    <row r="84" spans="1:20" ht="18" customHeight="1">
      <c r="A84" s="402"/>
      <c r="B84" s="403"/>
      <c r="C84" s="403"/>
      <c r="D84" s="403"/>
      <c r="E84" s="403"/>
      <c r="F84" s="403"/>
      <c r="G84" s="403"/>
      <c r="H84" s="683"/>
      <c r="I84" s="1909"/>
      <c r="J84" s="590"/>
      <c r="K84" s="1010" t="s">
        <v>1317</v>
      </c>
      <c r="L84" s="1009" t="s">
        <v>464</v>
      </c>
      <c r="M84" s="666">
        <f>R84</f>
        <v>1380</v>
      </c>
      <c r="N84" s="1108"/>
      <c r="O84" s="1104">
        <v>23000</v>
      </c>
      <c r="P84" s="1104">
        <v>30</v>
      </c>
      <c r="Q84" s="1120">
        <v>2</v>
      </c>
      <c r="R84" s="1106">
        <f t="shared" ref="R84:R96" si="12">ROUNDUP(O84*P84*Q84/1000,0)</f>
        <v>1380</v>
      </c>
      <c r="S84" s="1118"/>
      <c r="T84" s="1119"/>
    </row>
    <row r="85" spans="1:20" ht="18" customHeight="1">
      <c r="A85" s="402"/>
      <c r="B85" s="403"/>
      <c r="C85" s="403"/>
      <c r="D85" s="403"/>
      <c r="E85" s="403"/>
      <c r="F85" s="403"/>
      <c r="G85" s="403"/>
      <c r="H85" s="683"/>
      <c r="I85" s="1909"/>
      <c r="J85" s="590"/>
      <c r="K85" s="1010" t="s">
        <v>1318</v>
      </c>
      <c r="L85" s="1009" t="s">
        <v>464</v>
      </c>
      <c r="M85" s="666">
        <f t="shared" ref="M85:M96" si="13">R85</f>
        <v>200</v>
      </c>
      <c r="N85" s="1108"/>
      <c r="O85" s="1104">
        <v>25000</v>
      </c>
      <c r="P85" s="1104">
        <v>4</v>
      </c>
      <c r="Q85" s="1120">
        <v>2</v>
      </c>
      <c r="R85" s="1106">
        <f t="shared" si="12"/>
        <v>200</v>
      </c>
      <c r="S85" s="1118"/>
      <c r="T85" s="1119"/>
    </row>
    <row r="86" spans="1:20" ht="18" customHeight="1">
      <c r="A86" s="402"/>
      <c r="B86" s="403"/>
      <c r="C86" s="403"/>
      <c r="D86" s="403"/>
      <c r="E86" s="403"/>
      <c r="F86" s="403"/>
      <c r="G86" s="403"/>
      <c r="H86" s="683"/>
      <c r="I86" s="1909"/>
      <c r="J86" s="590"/>
      <c r="K86" s="1010" t="s">
        <v>1319</v>
      </c>
      <c r="L86" s="1009" t="s">
        <v>464</v>
      </c>
      <c r="M86" s="666">
        <f t="shared" si="13"/>
        <v>3600</v>
      </c>
      <c r="N86" s="1108"/>
      <c r="O86" s="1104">
        <v>300000</v>
      </c>
      <c r="P86" s="1104">
        <v>12</v>
      </c>
      <c r="Q86" s="1118">
        <v>1</v>
      </c>
      <c r="R86" s="1106">
        <f t="shared" si="12"/>
        <v>3600</v>
      </c>
      <c r="S86" s="1120"/>
      <c r="T86" s="1121"/>
    </row>
    <row r="87" spans="1:20" ht="18" customHeight="1">
      <c r="A87" s="402"/>
      <c r="B87" s="403"/>
      <c r="C87" s="403"/>
      <c r="D87" s="403"/>
      <c r="E87" s="403"/>
      <c r="F87" s="403"/>
      <c r="G87" s="403"/>
      <c r="H87" s="683"/>
      <c r="I87" s="1909"/>
      <c r="J87" s="590"/>
      <c r="K87" s="1010" t="s">
        <v>1320</v>
      </c>
      <c r="L87" s="1009" t="s">
        <v>464</v>
      </c>
      <c r="M87" s="666">
        <f t="shared" si="13"/>
        <v>2000</v>
      </c>
      <c r="N87" s="1108"/>
      <c r="O87" s="1104">
        <v>200000</v>
      </c>
      <c r="P87" s="1104">
        <v>10</v>
      </c>
      <c r="Q87" s="1118">
        <v>1</v>
      </c>
      <c r="R87" s="1106">
        <f t="shared" si="12"/>
        <v>2000</v>
      </c>
      <c r="S87" s="1120"/>
      <c r="T87" s="1121"/>
    </row>
    <row r="88" spans="1:20" ht="18" customHeight="1">
      <c r="A88" s="402"/>
      <c r="B88" s="403"/>
      <c r="C88" s="403"/>
      <c r="D88" s="403"/>
      <c r="E88" s="403"/>
      <c r="F88" s="403"/>
      <c r="G88" s="403"/>
      <c r="H88" s="683"/>
      <c r="I88" s="1909"/>
      <c r="J88" s="590"/>
      <c r="K88" s="1010" t="s">
        <v>1321</v>
      </c>
      <c r="L88" s="1009" t="s">
        <v>464</v>
      </c>
      <c r="M88" s="666">
        <f t="shared" si="13"/>
        <v>2100</v>
      </c>
      <c r="N88" s="1108"/>
      <c r="O88" s="1104">
        <v>700000</v>
      </c>
      <c r="P88" s="1104">
        <v>3</v>
      </c>
      <c r="Q88" s="1120">
        <v>1</v>
      </c>
      <c r="R88" s="1106">
        <f t="shared" si="12"/>
        <v>2100</v>
      </c>
      <c r="S88" s="1120"/>
      <c r="T88" s="1121"/>
    </row>
    <row r="89" spans="1:20" ht="18" customHeight="1">
      <c r="A89" s="402"/>
      <c r="B89" s="403"/>
      <c r="C89" s="403"/>
      <c r="D89" s="403"/>
      <c r="E89" s="403"/>
      <c r="F89" s="403"/>
      <c r="G89" s="403"/>
      <c r="H89" s="683"/>
      <c r="I89" s="1909"/>
      <c r="J89" s="590"/>
      <c r="K89" s="1010" t="s">
        <v>1322</v>
      </c>
      <c r="L89" s="1009" t="s">
        <v>464</v>
      </c>
      <c r="M89" s="666">
        <f t="shared" si="13"/>
        <v>3600</v>
      </c>
      <c r="N89" s="1108"/>
      <c r="O89" s="1104">
        <v>300000</v>
      </c>
      <c r="P89" s="1104">
        <v>12</v>
      </c>
      <c r="Q89" s="1120">
        <v>1</v>
      </c>
      <c r="R89" s="1106">
        <f t="shared" si="12"/>
        <v>3600</v>
      </c>
      <c r="S89" s="1120"/>
      <c r="T89" s="1121"/>
    </row>
    <row r="90" spans="1:20" ht="18" customHeight="1">
      <c r="A90" s="402"/>
      <c r="B90" s="403"/>
      <c r="C90" s="403"/>
      <c r="D90" s="403"/>
      <c r="E90" s="403"/>
      <c r="F90" s="403"/>
      <c r="G90" s="403"/>
      <c r="H90" s="683"/>
      <c r="I90" s="1909"/>
      <c r="J90" s="590"/>
      <c r="K90" s="1010" t="s">
        <v>1323</v>
      </c>
      <c r="L90" s="1009" t="s">
        <v>242</v>
      </c>
      <c r="M90" s="1824">
        <f t="shared" si="13"/>
        <v>320</v>
      </c>
      <c r="N90" s="1108"/>
      <c r="O90" s="1104">
        <v>80000</v>
      </c>
      <c r="P90" s="1104">
        <v>4</v>
      </c>
      <c r="Q90" s="1120">
        <v>1</v>
      </c>
      <c r="R90" s="1106">
        <f t="shared" si="12"/>
        <v>320</v>
      </c>
      <c r="S90" s="1120"/>
      <c r="T90" s="1121"/>
    </row>
    <row r="91" spans="1:20" ht="18" customHeight="1">
      <c r="A91" s="402"/>
      <c r="B91" s="403"/>
      <c r="C91" s="403"/>
      <c r="D91" s="403"/>
      <c r="E91" s="403"/>
      <c r="F91" s="403"/>
      <c r="G91" s="403"/>
      <c r="H91" s="683"/>
      <c r="I91" s="1909"/>
      <c r="J91" s="590"/>
      <c r="K91" s="450" t="s">
        <v>1324</v>
      </c>
      <c r="L91" s="1009" t="s">
        <v>464</v>
      </c>
      <c r="M91" s="1824">
        <f t="shared" si="13"/>
        <v>600</v>
      </c>
      <c r="N91" s="1108"/>
      <c r="O91" s="1104">
        <v>300000</v>
      </c>
      <c r="P91" s="1104">
        <v>2</v>
      </c>
      <c r="Q91" s="1120">
        <v>1</v>
      </c>
      <c r="R91" s="1106">
        <f t="shared" si="12"/>
        <v>600</v>
      </c>
      <c r="S91" s="1120"/>
      <c r="T91" s="1121"/>
    </row>
    <row r="92" spans="1:20" ht="18" customHeight="1">
      <c r="A92" s="402"/>
      <c r="B92" s="403"/>
      <c r="C92" s="403"/>
      <c r="D92" s="403"/>
      <c r="E92" s="403"/>
      <c r="F92" s="403"/>
      <c r="G92" s="403"/>
      <c r="H92" s="683"/>
      <c r="I92" s="1909"/>
      <c r="J92" s="590"/>
      <c r="K92" s="881" t="s">
        <v>1325</v>
      </c>
      <c r="L92" s="1009" t="s">
        <v>464</v>
      </c>
      <c r="M92" s="1824">
        <f t="shared" si="13"/>
        <v>1500</v>
      </c>
      <c r="N92" s="1108"/>
      <c r="O92" s="1104">
        <v>15000</v>
      </c>
      <c r="P92" s="1104">
        <v>100</v>
      </c>
      <c r="Q92" s="1120">
        <v>1</v>
      </c>
      <c r="R92" s="1106">
        <f t="shared" si="12"/>
        <v>1500</v>
      </c>
      <c r="S92" s="1120"/>
      <c r="T92" s="1121"/>
    </row>
    <row r="93" spans="1:20" ht="18" customHeight="1">
      <c r="A93" s="402"/>
      <c r="B93" s="403"/>
      <c r="C93" s="403"/>
      <c r="D93" s="403"/>
      <c r="E93" s="403"/>
      <c r="F93" s="403"/>
      <c r="G93" s="403"/>
      <c r="H93" s="683"/>
      <c r="I93" s="1909"/>
      <c r="J93" s="590"/>
      <c r="K93" s="881" t="s">
        <v>1326</v>
      </c>
      <c r="L93" s="1009" t="s">
        <v>464</v>
      </c>
      <c r="M93" s="1824">
        <f t="shared" si="13"/>
        <v>2664</v>
      </c>
      <c r="N93" s="1108"/>
      <c r="O93" s="1104">
        <v>166500</v>
      </c>
      <c r="P93" s="1104">
        <v>4</v>
      </c>
      <c r="Q93" s="1120">
        <v>4</v>
      </c>
      <c r="R93" s="1106">
        <f t="shared" si="12"/>
        <v>2664</v>
      </c>
      <c r="S93" s="1120"/>
      <c r="T93" s="1121"/>
    </row>
    <row r="94" spans="1:20" ht="18" customHeight="1">
      <c r="A94" s="402"/>
      <c r="B94" s="403"/>
      <c r="C94" s="957"/>
      <c r="D94" s="403"/>
      <c r="E94" s="403"/>
      <c r="F94" s="403"/>
      <c r="G94" s="403"/>
      <c r="H94" s="683"/>
      <c r="I94" s="1909"/>
      <c r="J94" s="590"/>
      <c r="K94" s="881" t="s">
        <v>1327</v>
      </c>
      <c r="L94" s="1009" t="s">
        <v>464</v>
      </c>
      <c r="M94" s="1824">
        <f t="shared" si="13"/>
        <v>3000</v>
      </c>
      <c r="N94" s="1108"/>
      <c r="O94" s="1104">
        <v>150</v>
      </c>
      <c r="P94" s="1104">
        <v>10000</v>
      </c>
      <c r="Q94" s="1120">
        <v>2</v>
      </c>
      <c r="R94" s="1106">
        <f t="shared" si="12"/>
        <v>3000</v>
      </c>
      <c r="S94" s="1120"/>
      <c r="T94" s="1121"/>
    </row>
    <row r="95" spans="1:20" ht="18" customHeight="1">
      <c r="A95" s="402"/>
      <c r="B95" s="949"/>
      <c r="C95" s="958"/>
      <c r="D95" s="403"/>
      <c r="E95" s="949"/>
      <c r="F95" s="949"/>
      <c r="G95" s="949"/>
      <c r="H95" s="683"/>
      <c r="I95" s="1915"/>
      <c r="J95" s="590"/>
      <c r="K95" s="450" t="s">
        <v>1328</v>
      </c>
      <c r="L95" s="1012" t="s">
        <v>464</v>
      </c>
      <c r="M95" s="1824">
        <f t="shared" si="13"/>
        <v>1600</v>
      </c>
      <c r="N95" s="1108"/>
      <c r="O95" s="1104">
        <v>8000</v>
      </c>
      <c r="P95" s="1104">
        <v>50</v>
      </c>
      <c r="Q95" s="1120">
        <v>4</v>
      </c>
      <c r="R95" s="1120">
        <f t="shared" si="12"/>
        <v>1600</v>
      </c>
      <c r="S95" s="1120"/>
      <c r="T95" s="1121"/>
    </row>
    <row r="96" spans="1:20" ht="18" customHeight="1">
      <c r="A96" s="402"/>
      <c r="B96" s="403"/>
      <c r="C96" s="957"/>
      <c r="D96" s="403"/>
      <c r="E96" s="403"/>
      <c r="F96" s="403"/>
      <c r="G96" s="403"/>
      <c r="H96" s="683"/>
      <c r="I96" s="1909"/>
      <c r="J96" s="590"/>
      <c r="K96" s="857" t="s">
        <v>1329</v>
      </c>
      <c r="L96" s="1009" t="s">
        <v>464</v>
      </c>
      <c r="M96" s="1824">
        <f t="shared" si="13"/>
        <v>405</v>
      </c>
      <c r="N96" s="1108"/>
      <c r="O96" s="1104">
        <v>27000</v>
      </c>
      <c r="P96" s="1104">
        <v>15</v>
      </c>
      <c r="Q96" s="1120">
        <v>1</v>
      </c>
      <c r="R96" s="1120">
        <f t="shared" si="12"/>
        <v>405</v>
      </c>
      <c r="S96" s="1120"/>
      <c r="T96" s="1121"/>
    </row>
    <row r="97" spans="1:20" ht="18" customHeight="1">
      <c r="A97" s="402"/>
      <c r="B97" s="949"/>
      <c r="C97" s="949"/>
      <c r="D97" s="949"/>
      <c r="E97" s="949"/>
      <c r="F97" s="949"/>
      <c r="G97" s="950" t="s">
        <v>1004</v>
      </c>
      <c r="H97" s="1876">
        <f>M97</f>
        <v>400</v>
      </c>
      <c r="I97" s="1914">
        <v>400</v>
      </c>
      <c r="J97" s="594">
        <f>H97-I97</f>
        <v>0</v>
      </c>
      <c r="K97" s="1071" t="s">
        <v>1004</v>
      </c>
      <c r="L97" s="1003"/>
      <c r="M97" s="1827">
        <f>M98</f>
        <v>400</v>
      </c>
      <c r="N97" s="1108"/>
      <c r="O97" s="1104"/>
      <c r="P97" s="1104"/>
      <c r="Q97" s="1120"/>
      <c r="R97" s="1120"/>
      <c r="S97" s="1120"/>
      <c r="T97" s="1121"/>
    </row>
    <row r="98" spans="1:20" ht="18" customHeight="1">
      <c r="A98" s="402"/>
      <c r="B98" s="949"/>
      <c r="C98" s="949"/>
      <c r="D98" s="949"/>
      <c r="E98" s="949"/>
      <c r="F98" s="949"/>
      <c r="G98" s="949"/>
      <c r="H98" s="1864"/>
      <c r="I98" s="1909"/>
      <c r="J98" s="590"/>
      <c r="K98" s="857" t="s">
        <v>1330</v>
      </c>
      <c r="L98" s="440" t="s">
        <v>464</v>
      </c>
      <c r="M98" s="1078">
        <v>400</v>
      </c>
      <c r="N98" s="1123"/>
      <c r="O98" s="1124">
        <v>400000</v>
      </c>
      <c r="P98" s="1124">
        <v>1</v>
      </c>
      <c r="Q98" s="1120">
        <v>1</v>
      </c>
      <c r="R98" s="1120">
        <f>ROUNDUP(O98*P98*Q98/1000,0)</f>
        <v>400</v>
      </c>
      <c r="S98" s="1120"/>
      <c r="T98" s="1121"/>
    </row>
    <row r="99" spans="1:20" ht="18" customHeight="1">
      <c r="A99" s="402"/>
      <c r="B99" s="949"/>
      <c r="C99" s="949"/>
      <c r="D99" s="949"/>
      <c r="E99" s="949"/>
      <c r="F99" s="949"/>
      <c r="G99" s="950" t="s">
        <v>406</v>
      </c>
      <c r="H99" s="683">
        <f>M99</f>
        <v>164164</v>
      </c>
      <c r="I99" s="1914">
        <v>100778</v>
      </c>
      <c r="J99" s="594">
        <f>H99-I99</f>
        <v>63386</v>
      </c>
      <c r="K99" s="1071" t="s">
        <v>990</v>
      </c>
      <c r="L99" s="1003"/>
      <c r="M99" s="1824">
        <f>M100+M105</f>
        <v>164164</v>
      </c>
      <c r="N99" s="1108"/>
      <c r="O99" s="1104"/>
      <c r="P99" s="1104"/>
      <c r="Q99" s="1120"/>
      <c r="R99" s="1120"/>
      <c r="S99" s="1120"/>
      <c r="T99" s="1121"/>
    </row>
    <row r="100" spans="1:20" ht="18" customHeight="1">
      <c r="A100" s="402"/>
      <c r="B100" s="949"/>
      <c r="C100" s="949"/>
      <c r="D100" s="949"/>
      <c r="E100" s="949"/>
      <c r="F100" s="949"/>
      <c r="G100" s="949"/>
      <c r="H100" s="683"/>
      <c r="I100" s="1909"/>
      <c r="J100" s="590"/>
      <c r="K100" s="1004" t="s">
        <v>1331</v>
      </c>
      <c r="L100" s="1005"/>
      <c r="M100" s="1824">
        <f>SUM(M101:M104)</f>
        <v>16691</v>
      </c>
      <c r="N100" s="1123"/>
      <c r="O100" s="1124"/>
      <c r="P100" s="1124"/>
      <c r="Q100" s="1120"/>
      <c r="R100" s="1120"/>
      <c r="S100" s="1120"/>
      <c r="T100" s="1121"/>
    </row>
    <row r="101" spans="1:20" ht="18" customHeight="1">
      <c r="A101" s="402"/>
      <c r="B101" s="949"/>
      <c r="C101" s="949"/>
      <c r="D101" s="949"/>
      <c r="E101" s="949"/>
      <c r="F101" s="403"/>
      <c r="G101" s="403"/>
      <c r="H101" s="683"/>
      <c r="I101" s="1909"/>
      <c r="J101" s="590"/>
      <c r="K101" s="861" t="s">
        <v>1332</v>
      </c>
      <c r="L101" s="1009" t="s">
        <v>464</v>
      </c>
      <c r="M101" s="666">
        <f>R101</f>
        <v>4900</v>
      </c>
      <c r="N101" s="1123"/>
      <c r="O101" s="1124">
        <v>70000</v>
      </c>
      <c r="P101" s="1124">
        <v>70</v>
      </c>
      <c r="Q101" s="1120">
        <v>1</v>
      </c>
      <c r="R101" s="1120">
        <f>ROUNDUP(O101*P101*Q101/1000,0)</f>
        <v>4900</v>
      </c>
      <c r="S101" s="1120"/>
      <c r="T101" s="1121"/>
    </row>
    <row r="102" spans="1:20" ht="18" customHeight="1">
      <c r="A102" s="402"/>
      <c r="B102" s="403"/>
      <c r="C102" s="957"/>
      <c r="D102" s="949"/>
      <c r="E102" s="949"/>
      <c r="F102" s="949"/>
      <c r="G102" s="949"/>
      <c r="H102" s="683"/>
      <c r="I102" s="1909"/>
      <c r="J102" s="590"/>
      <c r="K102" s="778" t="s">
        <v>1333</v>
      </c>
      <c r="L102" s="1009" t="s">
        <v>464</v>
      </c>
      <c r="M102" s="666">
        <f t="shared" ref="M102:M104" si="14">R102</f>
        <v>8000</v>
      </c>
      <c r="N102" s="1123"/>
      <c r="O102" s="1124">
        <v>400000</v>
      </c>
      <c r="P102" s="1124">
        <v>20</v>
      </c>
      <c r="Q102" s="1120">
        <v>1</v>
      </c>
      <c r="R102" s="1120">
        <f>ROUNDUP(O102*P102*Q102/1000,0)</f>
        <v>8000</v>
      </c>
      <c r="S102" s="1120"/>
      <c r="T102" s="1121"/>
    </row>
    <row r="103" spans="1:20" ht="18" customHeight="1">
      <c r="A103" s="402"/>
      <c r="B103" s="949"/>
      <c r="C103" s="949"/>
      <c r="D103" s="403"/>
      <c r="E103" s="403"/>
      <c r="F103" s="949"/>
      <c r="G103" s="949"/>
      <c r="H103" s="683"/>
      <c r="I103" s="1909"/>
      <c r="J103" s="590"/>
      <c r="K103" s="857" t="s">
        <v>1334</v>
      </c>
      <c r="L103" s="1009" t="s">
        <v>464</v>
      </c>
      <c r="M103" s="666">
        <f t="shared" si="14"/>
        <v>2339</v>
      </c>
      <c r="N103" s="1123"/>
      <c r="O103" s="1124">
        <v>194860</v>
      </c>
      <c r="P103" s="1124">
        <v>12</v>
      </c>
      <c r="Q103" s="1120">
        <v>1</v>
      </c>
      <c r="R103" s="1120">
        <f>ROUNDUP(O103*P103*Q103/1000,0)</f>
        <v>2339</v>
      </c>
      <c r="S103" s="1120"/>
      <c r="T103" s="1121"/>
    </row>
    <row r="104" spans="1:20" ht="18" customHeight="1">
      <c r="A104" s="402"/>
      <c r="B104" s="949"/>
      <c r="C104" s="949"/>
      <c r="D104" s="949"/>
      <c r="E104" s="949"/>
      <c r="F104" s="949"/>
      <c r="G104" s="949"/>
      <c r="H104" s="683"/>
      <c r="I104" s="1909"/>
      <c r="J104" s="590"/>
      <c r="K104" s="857" t="s">
        <v>1335</v>
      </c>
      <c r="L104" s="1009" t="s">
        <v>464</v>
      </c>
      <c r="M104" s="666">
        <f t="shared" si="14"/>
        <v>1452</v>
      </c>
      <c r="N104" s="1123"/>
      <c r="O104" s="1124">
        <v>121000</v>
      </c>
      <c r="P104" s="1124">
        <v>12</v>
      </c>
      <c r="Q104" s="1120">
        <v>1</v>
      </c>
      <c r="R104" s="1120">
        <f>ROUNDUP(O104*P104*Q104/1000,0)</f>
        <v>1452</v>
      </c>
      <c r="S104" s="1120"/>
      <c r="T104" s="1121"/>
    </row>
    <row r="105" spans="1:20" ht="18" customHeight="1">
      <c r="A105" s="402"/>
      <c r="B105" s="949"/>
      <c r="C105" s="949"/>
      <c r="D105" s="949"/>
      <c r="E105" s="949"/>
      <c r="F105" s="949"/>
      <c r="G105" s="949"/>
      <c r="H105" s="683"/>
      <c r="I105" s="1909"/>
      <c r="J105" s="590"/>
      <c r="K105" s="857" t="s">
        <v>1336</v>
      </c>
      <c r="L105" s="1009"/>
      <c r="M105" s="1824">
        <f>M106</f>
        <v>147473</v>
      </c>
      <c r="N105" s="1123"/>
      <c r="O105" s="1124"/>
      <c r="P105" s="1124"/>
      <c r="Q105" s="1120"/>
      <c r="R105" s="1120"/>
      <c r="S105" s="1120"/>
      <c r="T105" s="1121"/>
    </row>
    <row r="106" spans="1:20" ht="18" customHeight="1">
      <c r="A106" s="402"/>
      <c r="B106" s="949"/>
      <c r="C106" s="949"/>
      <c r="D106" s="949"/>
      <c r="E106" s="949"/>
      <c r="F106" s="949"/>
      <c r="G106" s="949"/>
      <c r="H106" s="683"/>
      <c r="I106" s="1909"/>
      <c r="J106" s="590"/>
      <c r="K106" s="857" t="s">
        <v>1337</v>
      </c>
      <c r="L106" s="1009" t="s">
        <v>242</v>
      </c>
      <c r="M106" s="1078">
        <f>S106</f>
        <v>147473</v>
      </c>
      <c r="N106" s="1123"/>
      <c r="O106" s="1124">
        <v>77500</v>
      </c>
      <c r="P106" s="1124">
        <v>1700</v>
      </c>
      <c r="Q106" s="1120">
        <v>52410</v>
      </c>
      <c r="R106" s="1120">
        <v>300</v>
      </c>
      <c r="S106" s="1120">
        <f>ROUNDUP(((O106*P106)+(Q106*R106))/1000,0)</f>
        <v>147473</v>
      </c>
      <c r="T106" s="1121"/>
    </row>
    <row r="107" spans="1:20" ht="18" customHeight="1">
      <c r="A107" s="402"/>
      <c r="B107" s="949"/>
      <c r="C107" s="949"/>
      <c r="D107" s="949"/>
      <c r="E107" s="949"/>
      <c r="F107" s="949"/>
      <c r="G107" s="959" t="s">
        <v>408</v>
      </c>
      <c r="H107" s="1876">
        <f>M107</f>
        <v>71620</v>
      </c>
      <c r="I107" s="1916">
        <v>74091</v>
      </c>
      <c r="J107" s="594">
        <f>H107-I107</f>
        <v>-2471</v>
      </c>
      <c r="K107" s="1013" t="s">
        <v>991</v>
      </c>
      <c r="L107" s="1003"/>
      <c r="M107" s="1824">
        <f>M108+M116+M117</f>
        <v>71620</v>
      </c>
      <c r="N107" s="1123"/>
      <c r="O107" s="1124"/>
      <c r="P107" s="1124"/>
      <c r="Q107" s="1120"/>
      <c r="R107" s="1120"/>
      <c r="S107" s="1120"/>
      <c r="T107" s="1121"/>
    </row>
    <row r="108" spans="1:20" ht="18" customHeight="1">
      <c r="A108" s="402"/>
      <c r="B108" s="949"/>
      <c r="C108" s="949"/>
      <c r="D108" s="949"/>
      <c r="E108" s="949"/>
      <c r="F108" s="949"/>
      <c r="G108" s="960"/>
      <c r="H108" s="683"/>
      <c r="I108" s="1915"/>
      <c r="J108" s="590"/>
      <c r="K108" s="1008" t="s">
        <v>1338</v>
      </c>
      <c r="L108" s="1009"/>
      <c r="M108" s="1824">
        <f>SUM(M109:M115)</f>
        <v>8520</v>
      </c>
      <c r="N108" s="1123"/>
      <c r="O108" s="1124"/>
      <c r="P108" s="1124"/>
      <c r="Q108" s="1120"/>
      <c r="R108" s="1120"/>
      <c r="S108" s="1125"/>
      <c r="T108" s="1126"/>
    </row>
    <row r="109" spans="1:20" ht="18" customHeight="1">
      <c r="A109" s="402"/>
      <c r="B109" s="949"/>
      <c r="C109" s="949"/>
      <c r="D109" s="949"/>
      <c r="E109" s="949"/>
      <c r="F109" s="949"/>
      <c r="G109" s="949"/>
      <c r="H109" s="683"/>
      <c r="I109" s="1909"/>
      <c r="J109" s="590"/>
      <c r="K109" s="857" t="s">
        <v>1339</v>
      </c>
      <c r="L109" s="1009" t="s">
        <v>464</v>
      </c>
      <c r="M109" s="666">
        <f>R109</f>
        <v>1440</v>
      </c>
      <c r="N109" s="1123"/>
      <c r="O109" s="1124">
        <v>120000</v>
      </c>
      <c r="P109" s="1124">
        <v>12</v>
      </c>
      <c r="Q109" s="1120">
        <v>1</v>
      </c>
      <c r="R109" s="1120">
        <f t="shared" ref="R109:R117" si="15">ROUNDUP(O109*P109*Q109/1000,0)</f>
        <v>1440</v>
      </c>
      <c r="S109" s="1125"/>
      <c r="T109" s="1126"/>
    </row>
    <row r="110" spans="1:20" ht="18" customHeight="1">
      <c r="A110" s="402"/>
      <c r="B110" s="949"/>
      <c r="C110" s="949"/>
      <c r="D110" s="949"/>
      <c r="E110" s="949"/>
      <c r="F110" s="949"/>
      <c r="G110" s="949"/>
      <c r="H110" s="683"/>
      <c r="I110" s="1909"/>
      <c r="J110" s="590"/>
      <c r="K110" s="857" t="s">
        <v>1340</v>
      </c>
      <c r="L110" s="1009" t="s">
        <v>464</v>
      </c>
      <c r="M110" s="666">
        <f t="shared" ref="M110:M117" si="16">R110</f>
        <v>1680</v>
      </c>
      <c r="N110" s="1123"/>
      <c r="O110" s="1124">
        <v>20000</v>
      </c>
      <c r="P110" s="1124">
        <v>7</v>
      </c>
      <c r="Q110" s="1125">
        <v>12</v>
      </c>
      <c r="R110" s="1120">
        <f t="shared" si="15"/>
        <v>1680</v>
      </c>
      <c r="S110" s="1125"/>
      <c r="T110" s="1126"/>
    </row>
    <row r="111" spans="1:20" ht="18" customHeight="1">
      <c r="A111" s="402"/>
      <c r="B111" s="949"/>
      <c r="C111" s="949"/>
      <c r="D111" s="949"/>
      <c r="E111" s="949"/>
      <c r="F111" s="949"/>
      <c r="G111" s="949"/>
      <c r="H111" s="683"/>
      <c r="I111" s="1909"/>
      <c r="J111" s="590"/>
      <c r="K111" s="857" t="s">
        <v>1341</v>
      </c>
      <c r="L111" s="1009" t="s">
        <v>464</v>
      </c>
      <c r="M111" s="666">
        <f t="shared" si="16"/>
        <v>840</v>
      </c>
      <c r="N111" s="1123"/>
      <c r="O111" s="1124">
        <v>35000</v>
      </c>
      <c r="P111" s="1124">
        <v>2</v>
      </c>
      <c r="Q111" s="1125">
        <v>12</v>
      </c>
      <c r="R111" s="1120">
        <f t="shared" si="15"/>
        <v>840</v>
      </c>
      <c r="S111" s="1125"/>
      <c r="T111" s="1121"/>
    </row>
    <row r="112" spans="1:20" ht="18" customHeight="1">
      <c r="A112" s="402"/>
      <c r="B112" s="949"/>
      <c r="C112" s="949"/>
      <c r="D112" s="949"/>
      <c r="E112" s="949"/>
      <c r="F112" s="949"/>
      <c r="G112" s="949"/>
      <c r="H112" s="683"/>
      <c r="I112" s="1909"/>
      <c r="J112" s="590"/>
      <c r="K112" s="857" t="s">
        <v>1342</v>
      </c>
      <c r="L112" s="1009" t="s">
        <v>464</v>
      </c>
      <c r="M112" s="666">
        <f t="shared" si="16"/>
        <v>2304</v>
      </c>
      <c r="N112" s="1123"/>
      <c r="O112" s="1124">
        <v>192000</v>
      </c>
      <c r="P112" s="1124">
        <v>1</v>
      </c>
      <c r="Q112" s="1125">
        <v>12</v>
      </c>
      <c r="R112" s="1120">
        <f t="shared" si="15"/>
        <v>2304</v>
      </c>
      <c r="S112" s="1125"/>
      <c r="T112" s="1121"/>
    </row>
    <row r="113" spans="1:20" ht="18" customHeight="1">
      <c r="A113" s="402"/>
      <c r="B113" s="949"/>
      <c r="C113" s="949"/>
      <c r="D113" s="949"/>
      <c r="E113" s="949"/>
      <c r="F113" s="949"/>
      <c r="G113" s="949"/>
      <c r="H113" s="683"/>
      <c r="I113" s="1909"/>
      <c r="J113" s="590"/>
      <c r="K113" s="857" t="s">
        <v>1343</v>
      </c>
      <c r="L113" s="1009" t="s">
        <v>464</v>
      </c>
      <c r="M113" s="666">
        <f t="shared" si="16"/>
        <v>696</v>
      </c>
      <c r="N113" s="1123"/>
      <c r="O113" s="1124">
        <v>58000</v>
      </c>
      <c r="P113" s="1124">
        <v>1</v>
      </c>
      <c r="Q113" s="1125">
        <v>12</v>
      </c>
      <c r="R113" s="1120">
        <f t="shared" si="15"/>
        <v>696</v>
      </c>
      <c r="S113" s="1125"/>
      <c r="T113" s="1121"/>
    </row>
    <row r="114" spans="1:20" ht="18" customHeight="1">
      <c r="A114" s="402"/>
      <c r="B114" s="949"/>
      <c r="C114" s="949"/>
      <c r="D114" s="949"/>
      <c r="E114" s="949"/>
      <c r="F114" s="949"/>
      <c r="G114" s="949"/>
      <c r="H114" s="683"/>
      <c r="I114" s="1909"/>
      <c r="J114" s="590"/>
      <c r="K114" s="857" t="s">
        <v>1344</v>
      </c>
      <c r="L114" s="1009" t="s">
        <v>464</v>
      </c>
      <c r="M114" s="666">
        <f t="shared" si="16"/>
        <v>636</v>
      </c>
      <c r="N114" s="1123"/>
      <c r="O114" s="1124">
        <v>53000</v>
      </c>
      <c r="P114" s="1124">
        <v>1</v>
      </c>
      <c r="Q114" s="1125">
        <v>12</v>
      </c>
      <c r="R114" s="1120">
        <f t="shared" si="15"/>
        <v>636</v>
      </c>
      <c r="S114" s="1127"/>
      <c r="T114" s="1128"/>
    </row>
    <row r="115" spans="1:20" ht="18" customHeight="1">
      <c r="A115" s="402"/>
      <c r="B115" s="949"/>
      <c r="C115" s="949"/>
      <c r="D115" s="949"/>
      <c r="E115" s="949"/>
      <c r="F115" s="949"/>
      <c r="G115" s="949"/>
      <c r="H115" s="683"/>
      <c r="I115" s="1909"/>
      <c r="J115" s="590"/>
      <c r="K115" s="857" t="s">
        <v>1345</v>
      </c>
      <c r="L115" s="1009" t="s">
        <v>464</v>
      </c>
      <c r="M115" s="666">
        <f t="shared" si="16"/>
        <v>924</v>
      </c>
      <c r="N115" s="1123"/>
      <c r="O115" s="1124">
        <v>77000</v>
      </c>
      <c r="P115" s="1124">
        <v>12</v>
      </c>
      <c r="Q115" s="1120">
        <v>1</v>
      </c>
      <c r="R115" s="1120">
        <f t="shared" si="15"/>
        <v>924</v>
      </c>
      <c r="S115" s="1120"/>
      <c r="T115" s="1121"/>
    </row>
    <row r="116" spans="1:20" ht="18" customHeight="1">
      <c r="A116" s="402"/>
      <c r="B116" s="949"/>
      <c r="C116" s="949"/>
      <c r="D116" s="949"/>
      <c r="E116" s="949"/>
      <c r="F116" s="949"/>
      <c r="G116" s="949"/>
      <c r="H116" s="683"/>
      <c r="I116" s="1909"/>
      <c r="J116" s="590"/>
      <c r="K116" s="881" t="s">
        <v>1346</v>
      </c>
      <c r="L116" s="440" t="s">
        <v>242</v>
      </c>
      <c r="M116" s="1824">
        <f t="shared" si="16"/>
        <v>62000</v>
      </c>
      <c r="N116" s="1123"/>
      <c r="O116" s="1124">
        <v>62000000</v>
      </c>
      <c r="P116" s="1124">
        <v>1</v>
      </c>
      <c r="Q116" s="1120">
        <v>1</v>
      </c>
      <c r="R116" s="1120">
        <f t="shared" si="15"/>
        <v>62000</v>
      </c>
      <c r="S116" s="1127"/>
      <c r="T116" s="1128"/>
    </row>
    <row r="117" spans="1:20" ht="18" customHeight="1">
      <c r="A117" s="402"/>
      <c r="B117" s="403"/>
      <c r="C117" s="403"/>
      <c r="D117" s="949"/>
      <c r="E117" s="949"/>
      <c r="F117" s="403"/>
      <c r="G117" s="403"/>
      <c r="H117" s="683"/>
      <c r="I117" s="1909"/>
      <c r="J117" s="595"/>
      <c r="K117" s="881" t="s">
        <v>1347</v>
      </c>
      <c r="L117" s="440" t="s">
        <v>464</v>
      </c>
      <c r="M117" s="1824">
        <f t="shared" si="16"/>
        <v>1100</v>
      </c>
      <c r="N117" s="1123"/>
      <c r="O117" s="1124">
        <v>550000</v>
      </c>
      <c r="P117" s="1124">
        <v>2</v>
      </c>
      <c r="Q117" s="1118">
        <v>1</v>
      </c>
      <c r="R117" s="1120">
        <f t="shared" si="15"/>
        <v>1100</v>
      </c>
      <c r="S117" s="1120"/>
      <c r="T117" s="1121"/>
    </row>
    <row r="118" spans="1:20" ht="18" customHeight="1">
      <c r="A118" s="402"/>
      <c r="B118" s="403"/>
      <c r="C118" s="403"/>
      <c r="D118" s="403"/>
      <c r="E118" s="403"/>
      <c r="F118" s="949"/>
      <c r="G118" s="950" t="s">
        <v>2258</v>
      </c>
      <c r="H118" s="1876">
        <f>M118</f>
        <v>273183</v>
      </c>
      <c r="I118" s="1914">
        <v>239797</v>
      </c>
      <c r="J118" s="590">
        <f>H118-I118</f>
        <v>33386</v>
      </c>
      <c r="K118" s="1014" t="s">
        <v>411</v>
      </c>
      <c r="L118" s="1015"/>
      <c r="M118" s="1827">
        <f>M119+M120+M121+M125</f>
        <v>273183</v>
      </c>
      <c r="N118" s="1123"/>
      <c r="O118" s="1124"/>
      <c r="P118" s="1124"/>
      <c r="Q118" s="1118"/>
      <c r="R118" s="1118"/>
      <c r="S118" s="1120"/>
      <c r="T118" s="1121"/>
    </row>
    <row r="119" spans="1:20" ht="18" customHeight="1">
      <c r="A119" s="402"/>
      <c r="B119" s="949"/>
      <c r="C119" s="949"/>
      <c r="D119" s="403"/>
      <c r="E119" s="403"/>
      <c r="F119" s="949"/>
      <c r="G119" s="949"/>
      <c r="H119" s="683"/>
      <c r="I119" s="1909"/>
      <c r="J119" s="590"/>
      <c r="K119" s="857" t="s">
        <v>1348</v>
      </c>
      <c r="L119" s="440" t="s">
        <v>464</v>
      </c>
      <c r="M119" s="1824">
        <f>R119</f>
        <v>96797</v>
      </c>
      <c r="N119" s="1123"/>
      <c r="O119" s="1124">
        <v>19359385000</v>
      </c>
      <c r="P119" s="1129">
        <v>5.0000000000000001E-3</v>
      </c>
      <c r="Q119" s="1120">
        <v>1</v>
      </c>
      <c r="R119" s="1120">
        <f>ROUNDUP(O119*P119*Q119/1000,0)</f>
        <v>96797</v>
      </c>
      <c r="S119" s="1120"/>
      <c r="T119" s="1121"/>
    </row>
    <row r="120" spans="1:20" ht="18" customHeight="1">
      <c r="A120" s="402"/>
      <c r="B120" s="949"/>
      <c r="C120" s="949"/>
      <c r="D120" s="949"/>
      <c r="E120" s="949"/>
      <c r="F120" s="949"/>
      <c r="G120" s="949"/>
      <c r="H120" s="683"/>
      <c r="I120" s="1909"/>
      <c r="J120" s="590"/>
      <c r="K120" s="857" t="s">
        <v>1349</v>
      </c>
      <c r="L120" s="1009" t="s">
        <v>464</v>
      </c>
      <c r="M120" s="1824">
        <f>R120</f>
        <v>7650</v>
      </c>
      <c r="N120" s="1123"/>
      <c r="O120" s="1124">
        <v>90000</v>
      </c>
      <c r="P120" s="1124">
        <v>85</v>
      </c>
      <c r="Q120" s="1120">
        <v>1</v>
      </c>
      <c r="R120" s="1120">
        <f>ROUNDUP(O120*P120*Q120/1000,0)</f>
        <v>7650</v>
      </c>
      <c r="S120" s="1120"/>
      <c r="T120" s="1121"/>
    </row>
    <row r="121" spans="1:20" ht="18" customHeight="1">
      <c r="A121" s="402"/>
      <c r="B121" s="949"/>
      <c r="C121" s="949"/>
      <c r="D121" s="949"/>
      <c r="E121" s="949"/>
      <c r="F121" s="949"/>
      <c r="G121" s="949"/>
      <c r="H121" s="683"/>
      <c r="I121" s="1909"/>
      <c r="J121" s="590"/>
      <c r="K121" s="857" t="s">
        <v>1350</v>
      </c>
      <c r="L121" s="1009"/>
      <c r="M121" s="1824">
        <f>SUM(M122:M124)</f>
        <v>32736</v>
      </c>
      <c r="N121" s="1108"/>
      <c r="O121" s="1104"/>
      <c r="P121" s="1104"/>
      <c r="Q121" s="1120"/>
      <c r="R121" s="1120"/>
      <c r="S121" s="1127"/>
      <c r="T121" s="1128"/>
    </row>
    <row r="122" spans="1:20" ht="18" customHeight="1">
      <c r="A122" s="402"/>
      <c r="B122" s="949"/>
      <c r="C122" s="949"/>
      <c r="D122" s="949"/>
      <c r="E122" s="949"/>
      <c r="F122" s="949"/>
      <c r="G122" s="949"/>
      <c r="H122" s="683"/>
      <c r="I122" s="1909"/>
      <c r="J122" s="590"/>
      <c r="K122" s="857" t="s">
        <v>1351</v>
      </c>
      <c r="L122" s="1009" t="s">
        <v>464</v>
      </c>
      <c r="M122" s="666">
        <f>R122</f>
        <v>21600</v>
      </c>
      <c r="N122" s="1123"/>
      <c r="O122" s="1124">
        <v>1800000</v>
      </c>
      <c r="P122" s="1124">
        <v>12</v>
      </c>
      <c r="Q122" s="1120">
        <v>1</v>
      </c>
      <c r="R122" s="1120">
        <f>ROUNDUP(O122*P122*Q122/1000,0)</f>
        <v>21600</v>
      </c>
      <c r="S122" s="1120"/>
      <c r="T122" s="1121"/>
    </row>
    <row r="123" spans="1:20" ht="18" customHeight="1">
      <c r="A123" s="402"/>
      <c r="B123" s="949"/>
      <c r="C123" s="949"/>
      <c r="D123" s="949"/>
      <c r="E123" s="949"/>
      <c r="F123" s="949"/>
      <c r="G123" s="949"/>
      <c r="H123" s="683"/>
      <c r="I123" s="1909"/>
      <c r="J123" s="590"/>
      <c r="K123" s="857" t="s">
        <v>1352</v>
      </c>
      <c r="L123" s="1009" t="s">
        <v>464</v>
      </c>
      <c r="M123" s="666">
        <f t="shared" ref="M123:M125" si="17">R123</f>
        <v>3936</v>
      </c>
      <c r="N123" s="1123"/>
      <c r="O123" s="1124">
        <v>328000</v>
      </c>
      <c r="P123" s="1124">
        <v>12</v>
      </c>
      <c r="Q123" s="1118">
        <v>1</v>
      </c>
      <c r="R123" s="1120">
        <f>ROUNDUP(O123*P123*Q123/1000,0)</f>
        <v>3936</v>
      </c>
      <c r="S123" s="1120"/>
      <c r="T123" s="1121"/>
    </row>
    <row r="124" spans="1:20" ht="18" customHeight="1">
      <c r="A124" s="402"/>
      <c r="B124" s="949"/>
      <c r="C124" s="949"/>
      <c r="D124" s="949"/>
      <c r="E124" s="949"/>
      <c r="F124" s="949"/>
      <c r="G124" s="949"/>
      <c r="H124" s="683"/>
      <c r="I124" s="1909"/>
      <c r="J124" s="590"/>
      <c r="K124" s="857" t="s">
        <v>1353</v>
      </c>
      <c r="L124" s="1009" t="s">
        <v>464</v>
      </c>
      <c r="M124" s="666">
        <f t="shared" si="17"/>
        <v>7200</v>
      </c>
      <c r="N124" s="1123"/>
      <c r="O124" s="1124">
        <v>600000</v>
      </c>
      <c r="P124" s="1124">
        <v>12</v>
      </c>
      <c r="Q124" s="1120">
        <v>1</v>
      </c>
      <c r="R124" s="1120">
        <f>ROUNDUP(O124*P124*Q124/1000,0)</f>
        <v>7200</v>
      </c>
      <c r="S124" s="1120"/>
      <c r="T124" s="1121"/>
    </row>
    <row r="125" spans="1:20" ht="18" customHeight="1">
      <c r="A125" s="402"/>
      <c r="B125" s="949"/>
      <c r="C125" s="949"/>
      <c r="D125" s="949"/>
      <c r="E125" s="949"/>
      <c r="F125" s="949"/>
      <c r="G125" s="949"/>
      <c r="H125" s="683"/>
      <c r="I125" s="1909"/>
      <c r="J125" s="590"/>
      <c r="K125" s="857" t="s">
        <v>1354</v>
      </c>
      <c r="L125" s="440" t="s">
        <v>464</v>
      </c>
      <c r="M125" s="1852">
        <f t="shared" si="17"/>
        <v>136000</v>
      </c>
      <c r="N125" s="1123"/>
      <c r="O125" s="1124">
        <v>1600000</v>
      </c>
      <c r="P125" s="1124">
        <v>85</v>
      </c>
      <c r="Q125" s="1120">
        <v>1</v>
      </c>
      <c r="R125" s="1120">
        <f>ROUNDUP(O125*P125*Q125/1000,0)</f>
        <v>136000</v>
      </c>
      <c r="S125" s="1120"/>
      <c r="T125" s="1121"/>
    </row>
    <row r="126" spans="1:20" ht="18" customHeight="1">
      <c r="A126" s="402"/>
      <c r="B126" s="949"/>
      <c r="C126" s="949"/>
      <c r="D126" s="949"/>
      <c r="E126" s="949"/>
      <c r="F126" s="949"/>
      <c r="G126" s="950" t="s">
        <v>1229</v>
      </c>
      <c r="H126" s="1876">
        <f>M126</f>
        <v>1281828</v>
      </c>
      <c r="I126" s="1914">
        <v>1441201</v>
      </c>
      <c r="J126" s="594">
        <f>H126-I126</f>
        <v>-159373</v>
      </c>
      <c r="K126" s="1013" t="s">
        <v>993</v>
      </c>
      <c r="L126" s="1003"/>
      <c r="M126" s="1824">
        <f>M127+M128+M133</f>
        <v>1281828</v>
      </c>
      <c r="N126" s="1123"/>
      <c r="O126" s="1124"/>
      <c r="P126" s="1124"/>
      <c r="Q126" s="1120"/>
      <c r="R126" s="1120"/>
      <c r="S126" s="1120"/>
      <c r="T126" s="1121"/>
    </row>
    <row r="127" spans="1:20" ht="18" customHeight="1">
      <c r="A127" s="402"/>
      <c r="B127" s="949"/>
      <c r="C127" s="949"/>
      <c r="D127" s="949"/>
      <c r="E127" s="949"/>
      <c r="F127" s="949"/>
      <c r="G127" s="949"/>
      <c r="H127" s="683"/>
      <c r="I127" s="1909"/>
      <c r="J127" s="590"/>
      <c r="K127" s="857" t="s">
        <v>1355</v>
      </c>
      <c r="L127" s="440" t="s">
        <v>464</v>
      </c>
      <c r="M127" s="1824">
        <f>R127</f>
        <v>157500</v>
      </c>
      <c r="N127" s="1123"/>
      <c r="O127" s="1124">
        <v>2500000</v>
      </c>
      <c r="P127" s="1124">
        <v>63</v>
      </c>
      <c r="Q127" s="1120">
        <v>1</v>
      </c>
      <c r="R127" s="1120">
        <f>ROUNDUP(O127*P127*Q127/1000,0)</f>
        <v>157500</v>
      </c>
      <c r="S127" s="1120"/>
      <c r="T127" s="1121"/>
    </row>
    <row r="128" spans="1:20" ht="18" customHeight="1">
      <c r="A128" s="402"/>
      <c r="B128" s="949"/>
      <c r="C128" s="949"/>
      <c r="D128" s="949"/>
      <c r="E128" s="949"/>
      <c r="F128" s="949"/>
      <c r="G128" s="949"/>
      <c r="H128" s="683"/>
      <c r="I128" s="1909"/>
      <c r="J128" s="590"/>
      <c r="K128" s="857" t="s">
        <v>1356</v>
      </c>
      <c r="L128" s="1009"/>
      <c r="M128" s="1824">
        <f>SUM(M129:M132)</f>
        <v>1108488</v>
      </c>
      <c r="N128" s="1123"/>
      <c r="O128" s="1124"/>
      <c r="P128" s="1124"/>
      <c r="Q128" s="1120"/>
      <c r="R128" s="1120"/>
      <c r="S128" s="1120"/>
      <c r="T128" s="1121"/>
    </row>
    <row r="129" spans="1:20" ht="18" customHeight="1">
      <c r="A129" s="402"/>
      <c r="B129" s="949"/>
      <c r="C129" s="949"/>
      <c r="D129" s="949"/>
      <c r="E129" s="949"/>
      <c r="F129" s="949"/>
      <c r="G129" s="949"/>
      <c r="H129" s="683"/>
      <c r="I129" s="1909"/>
      <c r="J129" s="590"/>
      <c r="K129" s="857" t="s">
        <v>1357</v>
      </c>
      <c r="L129" s="1009" t="s">
        <v>464</v>
      </c>
      <c r="M129" s="666">
        <f>S129</f>
        <v>550800</v>
      </c>
      <c r="N129" s="1123"/>
      <c r="O129" s="1124">
        <v>40000</v>
      </c>
      <c r="P129" s="1124">
        <v>34</v>
      </c>
      <c r="Q129" s="1120">
        <v>1350</v>
      </c>
      <c r="R129" s="1130">
        <v>0.3</v>
      </c>
      <c r="S129" s="1120">
        <f>ROUNDUP(O129*P129*Q129*R129/1000,0)</f>
        <v>550800</v>
      </c>
      <c r="T129" s="1126"/>
    </row>
    <row r="130" spans="1:20" ht="18" customHeight="1">
      <c r="A130" s="402"/>
      <c r="B130" s="949"/>
      <c r="C130" s="949"/>
      <c r="D130" s="949"/>
      <c r="E130" s="949"/>
      <c r="F130" s="949"/>
      <c r="G130" s="949"/>
      <c r="H130" s="683"/>
      <c r="I130" s="1909"/>
      <c r="J130" s="590"/>
      <c r="K130" s="857" t="s">
        <v>1358</v>
      </c>
      <c r="L130" s="1009" t="s">
        <v>464</v>
      </c>
      <c r="M130" s="666">
        <f t="shared" ref="M130:M132" si="18">S130</f>
        <v>462788</v>
      </c>
      <c r="N130" s="1123"/>
      <c r="O130" s="1124">
        <v>43000</v>
      </c>
      <c r="P130" s="1124">
        <v>25</v>
      </c>
      <c r="Q130" s="1120">
        <v>1050</v>
      </c>
      <c r="R130" s="1130">
        <v>0.41</v>
      </c>
      <c r="S130" s="1120">
        <f>ROUNDUP(O130*P130*Q130*R130/1000,0)</f>
        <v>462788</v>
      </c>
      <c r="T130" s="1121"/>
    </row>
    <row r="131" spans="1:20" ht="18" customHeight="1">
      <c r="A131" s="402"/>
      <c r="B131" s="949"/>
      <c r="C131" s="949"/>
      <c r="D131" s="949"/>
      <c r="E131" s="949"/>
      <c r="F131" s="949"/>
      <c r="G131" s="949"/>
      <c r="H131" s="683"/>
      <c r="I131" s="1909"/>
      <c r="J131" s="590"/>
      <c r="K131" s="857" t="s">
        <v>1359</v>
      </c>
      <c r="L131" s="1009" t="s">
        <v>464</v>
      </c>
      <c r="M131" s="666">
        <f t="shared" si="18"/>
        <v>84240</v>
      </c>
      <c r="N131" s="1108"/>
      <c r="O131" s="1104">
        <v>26000</v>
      </c>
      <c r="P131" s="1104">
        <v>8</v>
      </c>
      <c r="Q131" s="1120">
        <v>1350</v>
      </c>
      <c r="R131" s="1130">
        <v>0.3</v>
      </c>
      <c r="S131" s="1120">
        <f>ROUNDUP(O131*P131*Q131*R131/1000,0)</f>
        <v>84240</v>
      </c>
      <c r="T131" s="1121"/>
    </row>
    <row r="132" spans="1:20" ht="18" customHeight="1">
      <c r="A132" s="402"/>
      <c r="B132" s="949"/>
      <c r="C132" s="949"/>
      <c r="D132" s="949"/>
      <c r="E132" s="949"/>
      <c r="F132" s="949"/>
      <c r="G132" s="949"/>
      <c r="H132" s="683"/>
      <c r="I132" s="1909"/>
      <c r="J132" s="590"/>
      <c r="K132" s="857" t="s">
        <v>1360</v>
      </c>
      <c r="L132" s="1009" t="s">
        <v>464</v>
      </c>
      <c r="M132" s="666">
        <f t="shared" si="18"/>
        <v>10660</v>
      </c>
      <c r="N132" s="1123"/>
      <c r="O132" s="1124">
        <v>26000</v>
      </c>
      <c r="P132" s="1124">
        <v>1</v>
      </c>
      <c r="Q132" s="1120">
        <v>1000</v>
      </c>
      <c r="R132" s="1130">
        <v>0.41</v>
      </c>
      <c r="S132" s="1120">
        <f>ROUNDUP(O132*P132*Q132*R132/1000,0)</f>
        <v>10660</v>
      </c>
      <c r="T132" s="1126"/>
    </row>
    <row r="133" spans="1:20" ht="18" customHeight="1">
      <c r="A133" s="402"/>
      <c r="B133" s="949"/>
      <c r="C133" s="949"/>
      <c r="D133" s="949"/>
      <c r="E133" s="949"/>
      <c r="F133" s="961"/>
      <c r="G133" s="961"/>
      <c r="H133" s="683"/>
      <c r="I133" s="1908"/>
      <c r="J133" s="590"/>
      <c r="K133" s="885" t="s">
        <v>1361</v>
      </c>
      <c r="L133" s="1016" t="s">
        <v>464</v>
      </c>
      <c r="M133" s="1824">
        <f>R133</f>
        <v>15840</v>
      </c>
      <c r="N133" s="1123"/>
      <c r="O133" s="1124">
        <v>16500</v>
      </c>
      <c r="P133" s="1124">
        <v>80</v>
      </c>
      <c r="Q133" s="1120">
        <v>12</v>
      </c>
      <c r="R133" s="1120">
        <f>ROUNDUP(O133*P133*Q133/1000,0)</f>
        <v>15840</v>
      </c>
      <c r="S133" s="1131"/>
      <c r="T133" s="1132"/>
    </row>
    <row r="134" spans="1:20" ht="18" customHeight="1">
      <c r="A134" s="402"/>
      <c r="B134" s="949"/>
      <c r="C134" s="949"/>
      <c r="D134" s="949"/>
      <c r="E134" s="949"/>
      <c r="F134" s="951" t="s">
        <v>1230</v>
      </c>
      <c r="G134" s="951"/>
      <c r="H134" s="1868">
        <f>H135</f>
        <v>26900</v>
      </c>
      <c r="I134" s="1917">
        <v>27620</v>
      </c>
      <c r="J134" s="594">
        <f>H134-I134</f>
        <v>-720</v>
      </c>
      <c r="K134" s="1017"/>
      <c r="L134" s="1018"/>
      <c r="M134" s="668"/>
      <c r="N134" s="1123"/>
      <c r="O134" s="1124"/>
      <c r="P134" s="1124"/>
      <c r="Q134" s="1125"/>
      <c r="R134" s="1125"/>
      <c r="S134" s="1120"/>
      <c r="T134" s="1121"/>
    </row>
    <row r="135" spans="1:20" ht="18" customHeight="1">
      <c r="A135" s="402"/>
      <c r="B135" s="949"/>
      <c r="C135" s="949"/>
      <c r="D135" s="949"/>
      <c r="E135" s="949"/>
      <c r="F135" s="950"/>
      <c r="G135" s="950" t="s">
        <v>1231</v>
      </c>
      <c r="H135" s="1876">
        <f>M135</f>
        <v>26900</v>
      </c>
      <c r="I135" s="1914">
        <v>27620</v>
      </c>
      <c r="J135" s="594">
        <f>H135-I135</f>
        <v>-720</v>
      </c>
      <c r="K135" s="1031" t="s">
        <v>995</v>
      </c>
      <c r="L135" s="1015"/>
      <c r="M135" s="1827">
        <f>M136+M138</f>
        <v>26900</v>
      </c>
      <c r="N135" s="1123"/>
      <c r="O135" s="1124"/>
      <c r="P135" s="1124"/>
      <c r="Q135" s="1131"/>
      <c r="R135" s="1131"/>
      <c r="S135" s="1120"/>
      <c r="T135" s="1121"/>
    </row>
    <row r="136" spans="1:20" ht="18" customHeight="1">
      <c r="A136" s="402"/>
      <c r="B136" s="949"/>
      <c r="C136" s="949"/>
      <c r="D136" s="949"/>
      <c r="E136" s="949"/>
      <c r="F136" s="949"/>
      <c r="G136" s="949"/>
      <c r="H136" s="683"/>
      <c r="I136" s="1909"/>
      <c r="J136" s="590"/>
      <c r="K136" s="1019" t="s">
        <v>1362</v>
      </c>
      <c r="L136" s="1009"/>
      <c r="M136" s="1824">
        <f>M137</f>
        <v>17280</v>
      </c>
      <c r="N136" s="1123"/>
      <c r="O136" s="1124"/>
      <c r="P136" s="1124"/>
      <c r="Q136" s="1120"/>
      <c r="R136" s="1120"/>
      <c r="S136" s="1120"/>
      <c r="T136" s="1121"/>
    </row>
    <row r="137" spans="1:20" ht="18" customHeight="1">
      <c r="A137" s="402"/>
      <c r="B137" s="949"/>
      <c r="C137" s="949"/>
      <c r="D137" s="949"/>
      <c r="E137" s="949"/>
      <c r="F137" s="949"/>
      <c r="G137" s="949"/>
      <c r="H137" s="683"/>
      <c r="I137" s="1909"/>
      <c r="J137" s="590"/>
      <c r="K137" s="1019" t="s">
        <v>1363</v>
      </c>
      <c r="L137" s="1009" t="s">
        <v>464</v>
      </c>
      <c r="M137" s="666">
        <f>S137</f>
        <v>17280</v>
      </c>
      <c r="N137" s="1123"/>
      <c r="O137" s="1124">
        <v>20000</v>
      </c>
      <c r="P137" s="1124">
        <v>6</v>
      </c>
      <c r="Q137" s="1120">
        <v>12</v>
      </c>
      <c r="R137" s="1120">
        <v>12</v>
      </c>
      <c r="S137" s="1120">
        <f>ROUNDUP(O137*P137*Q137*R137/1000,0)</f>
        <v>17280</v>
      </c>
      <c r="T137" s="1121"/>
    </row>
    <row r="138" spans="1:20" ht="18" customHeight="1">
      <c r="A138" s="402"/>
      <c r="B138" s="949"/>
      <c r="C138" s="949"/>
      <c r="D138" s="949"/>
      <c r="E138" s="949"/>
      <c r="F138" s="949"/>
      <c r="G138" s="949"/>
      <c r="H138" s="683"/>
      <c r="I138" s="1909"/>
      <c r="J138" s="590"/>
      <c r="K138" s="1019" t="s">
        <v>1364</v>
      </c>
      <c r="L138" s="1009"/>
      <c r="M138" s="1824">
        <f>SUM(M139:M142)</f>
        <v>9620</v>
      </c>
      <c r="N138" s="1123"/>
      <c r="O138" s="1124"/>
      <c r="P138" s="1124"/>
      <c r="Q138" s="1120"/>
      <c r="R138" s="1120"/>
      <c r="S138" s="1120"/>
      <c r="T138" s="1121"/>
    </row>
    <row r="139" spans="1:20" ht="18" customHeight="1">
      <c r="A139" s="402"/>
      <c r="B139" s="949"/>
      <c r="C139" s="949"/>
      <c r="D139" s="949"/>
      <c r="E139" s="949"/>
      <c r="F139" s="949"/>
      <c r="G139" s="949"/>
      <c r="H139" s="683"/>
      <c r="I139" s="1909"/>
      <c r="J139" s="590"/>
      <c r="K139" s="450" t="s">
        <v>1365</v>
      </c>
      <c r="L139" s="1009" t="s">
        <v>464</v>
      </c>
      <c r="M139" s="666">
        <f>R139</f>
        <v>1760</v>
      </c>
      <c r="N139" s="1123"/>
      <c r="O139" s="1124">
        <v>110000</v>
      </c>
      <c r="P139" s="1124">
        <v>2</v>
      </c>
      <c r="Q139" s="1120">
        <v>8</v>
      </c>
      <c r="R139" s="1120">
        <f>ROUNDUP(O139*P139*Q139/1000,0)</f>
        <v>1760</v>
      </c>
      <c r="S139" s="1120"/>
      <c r="T139" s="1121"/>
    </row>
    <row r="140" spans="1:20" ht="18" customHeight="1">
      <c r="A140" s="402"/>
      <c r="B140" s="949"/>
      <c r="C140" s="949"/>
      <c r="D140" s="949"/>
      <c r="E140" s="949"/>
      <c r="F140" s="949"/>
      <c r="G140" s="949"/>
      <c r="H140" s="683"/>
      <c r="I140" s="1909"/>
      <c r="J140" s="590"/>
      <c r="K140" s="450" t="s">
        <v>1366</v>
      </c>
      <c r="L140" s="1009" t="s">
        <v>242</v>
      </c>
      <c r="M140" s="666">
        <f>R140</f>
        <v>5000</v>
      </c>
      <c r="N140" s="1123"/>
      <c r="O140" s="1124">
        <v>500000</v>
      </c>
      <c r="P140" s="1124">
        <v>10</v>
      </c>
      <c r="Q140" s="1120">
        <v>1</v>
      </c>
      <c r="R140" s="1120">
        <f>ROUNDUP(O140*P140*Q140/1000,0)</f>
        <v>5000</v>
      </c>
      <c r="S140" s="1120"/>
      <c r="T140" s="1121"/>
    </row>
    <row r="141" spans="1:20" ht="18" customHeight="1">
      <c r="A141" s="402"/>
      <c r="B141" s="949"/>
      <c r="C141" s="949"/>
      <c r="D141" s="949"/>
      <c r="E141" s="949"/>
      <c r="F141" s="949"/>
      <c r="G141" s="949"/>
      <c r="H141" s="683"/>
      <c r="I141" s="1909"/>
      <c r="J141" s="590"/>
      <c r="K141" s="450" t="s">
        <v>1367</v>
      </c>
      <c r="L141" s="1009" t="s">
        <v>464</v>
      </c>
      <c r="M141" s="666">
        <f>S141</f>
        <v>660</v>
      </c>
      <c r="N141" s="1123"/>
      <c r="O141" s="1124">
        <v>110000</v>
      </c>
      <c r="P141" s="1124">
        <v>3</v>
      </c>
      <c r="Q141" s="1120">
        <v>2</v>
      </c>
      <c r="R141" s="1120">
        <v>1</v>
      </c>
      <c r="S141" s="1120">
        <f>ROUNDUP(O141*P141*Q141*R141/1000,0)</f>
        <v>660</v>
      </c>
      <c r="T141" s="1121"/>
    </row>
    <row r="142" spans="1:20" ht="18" customHeight="1">
      <c r="A142" s="402"/>
      <c r="B142" s="949"/>
      <c r="C142" s="949"/>
      <c r="D142" s="949"/>
      <c r="E142" s="949"/>
      <c r="F142" s="961"/>
      <c r="G142" s="961"/>
      <c r="H142" s="1864"/>
      <c r="I142" s="1908"/>
      <c r="J142" s="590"/>
      <c r="K142" s="1020" t="s">
        <v>1368</v>
      </c>
      <c r="L142" s="1016" t="s">
        <v>464</v>
      </c>
      <c r="M142" s="1078">
        <f>R142</f>
        <v>2200</v>
      </c>
      <c r="N142" s="1123"/>
      <c r="O142" s="1124">
        <v>110000</v>
      </c>
      <c r="P142" s="1124">
        <v>10</v>
      </c>
      <c r="Q142" s="1120">
        <v>2</v>
      </c>
      <c r="R142" s="1120">
        <f>ROUNDUP(O142*P142*Q142/1000,0)</f>
        <v>2200</v>
      </c>
      <c r="S142" s="1127"/>
      <c r="T142" s="1128"/>
    </row>
    <row r="143" spans="1:20" ht="18" customHeight="1">
      <c r="A143" s="402"/>
      <c r="B143" s="949"/>
      <c r="C143" s="949"/>
      <c r="D143" s="949"/>
      <c r="E143" s="949"/>
      <c r="F143" s="962" t="s">
        <v>996</v>
      </c>
      <c r="G143" s="963"/>
      <c r="H143" s="683">
        <f>H144</f>
        <v>14521</v>
      </c>
      <c r="I143" s="1917">
        <v>0</v>
      </c>
      <c r="J143" s="597">
        <f>H143-I143</f>
        <v>14521</v>
      </c>
      <c r="K143" s="1020"/>
      <c r="L143" s="1016"/>
      <c r="M143" s="1078"/>
      <c r="N143" s="1123"/>
      <c r="O143" s="1124"/>
      <c r="P143" s="1124"/>
      <c r="Q143" s="1120"/>
      <c r="R143" s="1120"/>
      <c r="S143" s="1127"/>
      <c r="T143" s="1128"/>
    </row>
    <row r="144" spans="1:20" ht="18" customHeight="1">
      <c r="A144" s="402"/>
      <c r="B144" s="949"/>
      <c r="C144" s="949"/>
      <c r="D144" s="949"/>
      <c r="E144" s="949"/>
      <c r="F144" s="949"/>
      <c r="G144" s="949" t="s">
        <v>1232</v>
      </c>
      <c r="H144" s="1876">
        <f>M144</f>
        <v>14521</v>
      </c>
      <c r="I144" s="1909">
        <v>0</v>
      </c>
      <c r="J144" s="590">
        <f>H144-I144</f>
        <v>14521</v>
      </c>
      <c r="K144" s="1021" t="s">
        <v>1232</v>
      </c>
      <c r="L144" s="1009"/>
      <c r="M144" s="1824">
        <f>M145</f>
        <v>14521</v>
      </c>
      <c r="N144" s="1123"/>
      <c r="O144" s="1124"/>
      <c r="P144" s="1124"/>
      <c r="Q144" s="1120"/>
      <c r="R144" s="1120"/>
      <c r="S144" s="1127"/>
      <c r="T144" s="1128"/>
    </row>
    <row r="145" spans="1:20" ht="18" customHeight="1">
      <c r="A145" s="402"/>
      <c r="B145" s="949"/>
      <c r="C145" s="949"/>
      <c r="D145" s="949"/>
      <c r="E145" s="949"/>
      <c r="F145" s="949"/>
      <c r="G145" s="949"/>
      <c r="H145" s="683"/>
      <c r="I145" s="1909"/>
      <c r="J145" s="590"/>
      <c r="K145" s="1022" t="s">
        <v>1369</v>
      </c>
      <c r="L145" s="1016" t="s">
        <v>464</v>
      </c>
      <c r="M145" s="666">
        <f>R145</f>
        <v>14521</v>
      </c>
      <c r="N145" s="1123"/>
      <c r="O145" s="1124">
        <v>14521000</v>
      </c>
      <c r="P145" s="1124">
        <v>1</v>
      </c>
      <c r="Q145" s="1120">
        <v>1</v>
      </c>
      <c r="R145" s="1120">
        <f>ROUNDUP(O145*P145*Q145/1000,0)</f>
        <v>14521</v>
      </c>
      <c r="S145" s="1127"/>
      <c r="T145" s="1128"/>
    </row>
    <row r="146" spans="1:20" ht="18" customHeight="1">
      <c r="A146" s="402"/>
      <c r="B146" s="949"/>
      <c r="C146" s="949"/>
      <c r="D146" s="949"/>
      <c r="E146" s="949"/>
      <c r="F146" s="951" t="s">
        <v>1233</v>
      </c>
      <c r="G146" s="951"/>
      <c r="H146" s="1868">
        <f>H147</f>
        <v>19800</v>
      </c>
      <c r="I146" s="1918">
        <v>19740</v>
      </c>
      <c r="J146" s="597">
        <f>H146-I146</f>
        <v>60</v>
      </c>
      <c r="K146" s="1017"/>
      <c r="L146" s="1023"/>
      <c r="M146" s="668"/>
      <c r="N146" s="1123"/>
      <c r="O146" s="1124"/>
      <c r="P146" s="1124"/>
      <c r="Q146" s="1120"/>
      <c r="R146" s="1120"/>
      <c r="S146" s="1120"/>
      <c r="T146" s="1121"/>
    </row>
    <row r="147" spans="1:20" ht="18" customHeight="1">
      <c r="A147" s="402"/>
      <c r="B147" s="949"/>
      <c r="C147" s="949"/>
      <c r="D147" s="949"/>
      <c r="E147" s="949"/>
      <c r="F147" s="950"/>
      <c r="G147" s="950" t="s">
        <v>1234</v>
      </c>
      <c r="H147" s="1876">
        <f>M147</f>
        <v>19800</v>
      </c>
      <c r="I147" s="1916">
        <v>19740</v>
      </c>
      <c r="J147" s="594">
        <f>H147-I147</f>
        <v>60</v>
      </c>
      <c r="K147" s="1072" t="s">
        <v>998</v>
      </c>
      <c r="L147" s="1024"/>
      <c r="M147" s="1824">
        <f>M148+M149</f>
        <v>19800</v>
      </c>
      <c r="N147" s="1123"/>
      <c r="O147" s="1124"/>
      <c r="P147" s="1124"/>
      <c r="Q147" s="1120"/>
      <c r="R147" s="1120"/>
      <c r="S147" s="1120"/>
      <c r="T147" s="1121"/>
    </row>
    <row r="148" spans="1:20" ht="18" customHeight="1">
      <c r="A148" s="402"/>
      <c r="B148" s="949"/>
      <c r="C148" s="949"/>
      <c r="D148" s="949"/>
      <c r="E148" s="949"/>
      <c r="F148" s="949"/>
      <c r="G148" s="949"/>
      <c r="H148" s="683"/>
      <c r="I148" s="1915"/>
      <c r="J148" s="590"/>
      <c r="K148" s="857" t="s">
        <v>1370</v>
      </c>
      <c r="L148" s="1025" t="s">
        <v>464</v>
      </c>
      <c r="M148" s="666">
        <f>R148</f>
        <v>4800</v>
      </c>
      <c r="N148" s="1123"/>
      <c r="O148" s="1124">
        <v>400000</v>
      </c>
      <c r="P148" s="1124">
        <v>12</v>
      </c>
      <c r="Q148" s="1120">
        <v>1</v>
      </c>
      <c r="R148" s="1120">
        <f>ROUNDUP(O148*P148*Q148/1000,0)</f>
        <v>4800</v>
      </c>
      <c r="S148" s="1118"/>
      <c r="T148" s="1119"/>
    </row>
    <row r="149" spans="1:20" ht="18" customHeight="1">
      <c r="A149" s="402"/>
      <c r="B149" s="949"/>
      <c r="C149" s="949"/>
      <c r="D149" s="949"/>
      <c r="E149" s="949"/>
      <c r="F149" s="949"/>
      <c r="G149" s="949"/>
      <c r="H149" s="683"/>
      <c r="I149" s="1915"/>
      <c r="J149" s="590"/>
      <c r="K149" s="1073" t="s">
        <v>1371</v>
      </c>
      <c r="L149" s="1025" t="s">
        <v>464</v>
      </c>
      <c r="M149" s="666">
        <f>R149</f>
        <v>15000</v>
      </c>
      <c r="N149" s="1123"/>
      <c r="O149" s="1124">
        <v>5000</v>
      </c>
      <c r="P149" s="1124">
        <v>250</v>
      </c>
      <c r="Q149" s="1120">
        <v>12</v>
      </c>
      <c r="R149" s="1120">
        <f>ROUNDUP(O149*P149*Q149/1000,0)</f>
        <v>15000</v>
      </c>
      <c r="S149" s="1131"/>
      <c r="T149" s="1132"/>
    </row>
    <row r="150" spans="1:20" ht="18" customHeight="1">
      <c r="A150" s="340"/>
      <c r="B150" s="344"/>
      <c r="C150" s="702"/>
      <c r="D150" s="341" t="s">
        <v>1235</v>
      </c>
      <c r="E150" s="342"/>
      <c r="F150" s="342"/>
      <c r="G150" s="343"/>
      <c r="H150" s="1856">
        <f>H151</f>
        <v>721184</v>
      </c>
      <c r="I150" s="1858">
        <v>660555</v>
      </c>
      <c r="J150" s="601">
        <f>H150-I150</f>
        <v>60629</v>
      </c>
      <c r="K150" s="494"/>
      <c r="L150" s="541"/>
      <c r="M150" s="668"/>
      <c r="N150" s="1108"/>
      <c r="O150" s="1104"/>
      <c r="P150" s="1104"/>
      <c r="Q150" s="1120"/>
      <c r="R150" s="1120"/>
      <c r="S150" s="1131"/>
      <c r="T150" s="1132"/>
    </row>
    <row r="151" spans="1:20" ht="18" customHeight="1">
      <c r="A151" s="340"/>
      <c r="B151" s="344"/>
      <c r="C151" s="347"/>
      <c r="D151" s="348"/>
      <c r="E151" s="341" t="s">
        <v>987</v>
      </c>
      <c r="F151" s="342"/>
      <c r="G151" s="343"/>
      <c r="H151" s="684">
        <f>H152</f>
        <v>721184</v>
      </c>
      <c r="I151" s="1878">
        <v>660555</v>
      </c>
      <c r="J151" s="607">
        <f t="shared" ref="J151:J153" si="19">H151-I151</f>
        <v>60629</v>
      </c>
      <c r="K151" s="427"/>
      <c r="L151" s="428"/>
      <c r="M151" s="666"/>
      <c r="N151" s="1108"/>
      <c r="O151" s="1124"/>
      <c r="P151" s="1124"/>
      <c r="Q151" s="1133"/>
      <c r="R151" s="1120"/>
      <c r="S151" s="1131"/>
      <c r="T151" s="1132"/>
    </row>
    <row r="152" spans="1:20" ht="18" customHeight="1">
      <c r="A152" s="402"/>
      <c r="B152" s="949"/>
      <c r="C152" s="949"/>
      <c r="D152" s="347"/>
      <c r="E152" s="964"/>
      <c r="F152" s="951" t="s">
        <v>402</v>
      </c>
      <c r="G152" s="412"/>
      <c r="H152" s="1859">
        <f>H153</f>
        <v>721184</v>
      </c>
      <c r="I152" s="1900">
        <v>660555</v>
      </c>
      <c r="J152" s="597">
        <f t="shared" si="19"/>
        <v>60629</v>
      </c>
      <c r="K152" s="456"/>
      <c r="L152" s="1026"/>
      <c r="M152" s="1534"/>
      <c r="N152" s="1108"/>
      <c r="O152" s="1124"/>
      <c r="P152" s="1124"/>
      <c r="Q152" s="1133"/>
      <c r="R152" s="1120"/>
      <c r="S152" s="1131"/>
      <c r="T152" s="1132"/>
    </row>
    <row r="153" spans="1:20" ht="18" customHeight="1">
      <c r="A153" s="402"/>
      <c r="B153" s="949"/>
      <c r="C153" s="949"/>
      <c r="D153" s="949"/>
      <c r="E153" s="949"/>
      <c r="F153" s="949"/>
      <c r="G153" s="950" t="s">
        <v>1236</v>
      </c>
      <c r="H153" s="683">
        <f>M153</f>
        <v>721184</v>
      </c>
      <c r="I153" s="1915">
        <v>660555</v>
      </c>
      <c r="J153" s="590">
        <f t="shared" si="19"/>
        <v>60629</v>
      </c>
      <c r="K153" s="1074" t="s">
        <v>992</v>
      </c>
      <c r="L153" s="1027"/>
      <c r="M153" s="1827">
        <f>M154+M178+M179+M180+M181+M182</f>
        <v>721184</v>
      </c>
      <c r="N153" s="1123"/>
      <c r="O153" s="1124"/>
      <c r="P153" s="1124"/>
      <c r="Q153" s="1134"/>
      <c r="R153" s="1127"/>
      <c r="S153" s="1135"/>
      <c r="T153" s="1136"/>
    </row>
    <row r="154" spans="1:20" ht="18" customHeight="1">
      <c r="A154" s="402"/>
      <c r="B154" s="949"/>
      <c r="C154" s="949"/>
      <c r="D154" s="403"/>
      <c r="E154" s="949"/>
      <c r="F154" s="949"/>
      <c r="G154" s="949"/>
      <c r="H154" s="683"/>
      <c r="I154" s="1915"/>
      <c r="J154" s="590"/>
      <c r="K154" s="881" t="s">
        <v>1372</v>
      </c>
      <c r="L154" s="1012"/>
      <c r="M154" s="1824">
        <f>SUM(M155:M177)</f>
        <v>368364</v>
      </c>
      <c r="N154" s="1123"/>
      <c r="O154" s="1124"/>
      <c r="P154" s="1124"/>
      <c r="Q154" s="1137"/>
      <c r="R154" s="1138"/>
      <c r="S154" s="1135"/>
      <c r="T154" s="1136"/>
    </row>
    <row r="155" spans="1:20" ht="18" customHeight="1">
      <c r="A155" s="402"/>
      <c r="B155" s="949"/>
      <c r="C155" s="949"/>
      <c r="D155" s="403"/>
      <c r="E155" s="949"/>
      <c r="F155" s="949"/>
      <c r="G155" s="949"/>
      <c r="H155" s="683"/>
      <c r="I155" s="1915"/>
      <c r="J155" s="590"/>
      <c r="K155" s="881" t="s">
        <v>1373</v>
      </c>
      <c r="L155" s="1012" t="s">
        <v>464</v>
      </c>
      <c r="M155" s="666">
        <f>R155</f>
        <v>44800</v>
      </c>
      <c r="N155" s="1123"/>
      <c r="O155" s="1124">
        <v>160000</v>
      </c>
      <c r="P155" s="1124">
        <v>280</v>
      </c>
      <c r="Q155" s="1139">
        <v>1</v>
      </c>
      <c r="R155" s="1140">
        <f t="shared" ref="R155:R171" si="20">ROUNDUP(O155*P155*Q155/1000,0)</f>
        <v>44800</v>
      </c>
      <c r="S155" s="1135"/>
      <c r="T155" s="1136"/>
    </row>
    <row r="156" spans="1:20" ht="18" customHeight="1">
      <c r="A156" s="402"/>
      <c r="B156" s="949"/>
      <c r="C156" s="949"/>
      <c r="D156" s="403"/>
      <c r="E156" s="949"/>
      <c r="F156" s="949"/>
      <c r="G156" s="949"/>
      <c r="H156" s="683"/>
      <c r="I156" s="1915"/>
      <c r="J156" s="590"/>
      <c r="K156" s="450" t="s">
        <v>1374</v>
      </c>
      <c r="L156" s="1012" t="s">
        <v>464</v>
      </c>
      <c r="M156" s="666">
        <f t="shared" ref="M156:M171" si="21">R156</f>
        <v>22400</v>
      </c>
      <c r="N156" s="1123"/>
      <c r="O156" s="1124">
        <v>80000</v>
      </c>
      <c r="P156" s="1124">
        <v>280</v>
      </c>
      <c r="Q156" s="1139">
        <v>1</v>
      </c>
      <c r="R156" s="1140">
        <f t="shared" si="20"/>
        <v>22400</v>
      </c>
      <c r="S156" s="1135"/>
      <c r="T156" s="1136"/>
    </row>
    <row r="157" spans="1:20" ht="18" customHeight="1">
      <c r="A157" s="402"/>
      <c r="B157" s="949"/>
      <c r="C157" s="949"/>
      <c r="D157" s="403"/>
      <c r="E157" s="949"/>
      <c r="F157" s="949"/>
      <c r="G157" s="949"/>
      <c r="H157" s="683"/>
      <c r="I157" s="1915"/>
      <c r="J157" s="590"/>
      <c r="K157" s="881" t="s">
        <v>1375</v>
      </c>
      <c r="L157" s="1012" t="s">
        <v>464</v>
      </c>
      <c r="M157" s="666">
        <f t="shared" si="21"/>
        <v>49320</v>
      </c>
      <c r="N157" s="1123"/>
      <c r="O157" s="1124">
        <v>180000</v>
      </c>
      <c r="P157" s="1124">
        <v>274</v>
      </c>
      <c r="Q157" s="1139">
        <v>1</v>
      </c>
      <c r="R157" s="1140">
        <f t="shared" si="20"/>
        <v>49320</v>
      </c>
      <c r="S157" s="1135"/>
      <c r="T157" s="1136"/>
    </row>
    <row r="158" spans="1:20" ht="18" customHeight="1">
      <c r="A158" s="402"/>
      <c r="B158" s="949"/>
      <c r="C158" s="949"/>
      <c r="D158" s="403"/>
      <c r="E158" s="949"/>
      <c r="F158" s="949"/>
      <c r="G158" s="949"/>
      <c r="H158" s="683"/>
      <c r="I158" s="1915"/>
      <c r="J158" s="590"/>
      <c r="K158" s="881" t="s">
        <v>1376</v>
      </c>
      <c r="L158" s="1012" t="s">
        <v>464</v>
      </c>
      <c r="M158" s="666">
        <f t="shared" si="21"/>
        <v>42000</v>
      </c>
      <c r="N158" s="1123"/>
      <c r="O158" s="1124">
        <v>150000</v>
      </c>
      <c r="P158" s="1124">
        <v>280</v>
      </c>
      <c r="Q158" s="1139">
        <v>1</v>
      </c>
      <c r="R158" s="1140">
        <f t="shared" si="20"/>
        <v>42000</v>
      </c>
      <c r="S158" s="1135"/>
      <c r="T158" s="1136"/>
    </row>
    <row r="159" spans="1:20" ht="18" customHeight="1">
      <c r="A159" s="402"/>
      <c r="B159" s="949"/>
      <c r="C159" s="949"/>
      <c r="D159" s="403"/>
      <c r="E159" s="965"/>
      <c r="F159" s="965"/>
      <c r="G159" s="965"/>
      <c r="H159" s="683"/>
      <c r="I159" s="1915"/>
      <c r="J159" s="590"/>
      <c r="K159" s="881" t="s">
        <v>1377</v>
      </c>
      <c r="L159" s="1012" t="s">
        <v>464</v>
      </c>
      <c r="M159" s="666">
        <f t="shared" si="21"/>
        <v>16440</v>
      </c>
      <c r="N159" s="1123"/>
      <c r="O159" s="1124">
        <v>60000</v>
      </c>
      <c r="P159" s="1124">
        <v>274</v>
      </c>
      <c r="Q159" s="1139">
        <v>1</v>
      </c>
      <c r="R159" s="1140">
        <f t="shared" si="20"/>
        <v>16440</v>
      </c>
      <c r="S159" s="1135"/>
      <c r="T159" s="1136"/>
    </row>
    <row r="160" spans="1:20" ht="18" customHeight="1">
      <c r="A160" s="402"/>
      <c r="B160" s="949"/>
      <c r="C160" s="949"/>
      <c r="D160" s="403"/>
      <c r="E160" s="965"/>
      <c r="F160" s="965"/>
      <c r="G160" s="965"/>
      <c r="H160" s="683"/>
      <c r="I160" s="1915"/>
      <c r="J160" s="590"/>
      <c r="K160" s="881" t="s">
        <v>1378</v>
      </c>
      <c r="L160" s="1012" t="s">
        <v>464</v>
      </c>
      <c r="M160" s="666">
        <f t="shared" si="21"/>
        <v>10960</v>
      </c>
      <c r="N160" s="1123"/>
      <c r="O160" s="1124">
        <v>40000</v>
      </c>
      <c r="P160" s="1124">
        <v>274</v>
      </c>
      <c r="Q160" s="1139">
        <v>1</v>
      </c>
      <c r="R160" s="1140">
        <f t="shared" si="20"/>
        <v>10960</v>
      </c>
      <c r="S160" s="1135"/>
      <c r="T160" s="1136"/>
    </row>
    <row r="161" spans="1:20" ht="18" customHeight="1">
      <c r="A161" s="402"/>
      <c r="B161" s="949"/>
      <c r="C161" s="949"/>
      <c r="D161" s="403"/>
      <c r="E161" s="965"/>
      <c r="F161" s="965"/>
      <c r="G161" s="965"/>
      <c r="H161" s="683"/>
      <c r="I161" s="1915"/>
      <c r="J161" s="590"/>
      <c r="K161" s="450" t="s">
        <v>1379</v>
      </c>
      <c r="L161" s="1012" t="s">
        <v>464</v>
      </c>
      <c r="M161" s="666">
        <f t="shared" si="21"/>
        <v>57540</v>
      </c>
      <c r="N161" s="1123"/>
      <c r="O161" s="1124">
        <v>70000</v>
      </c>
      <c r="P161" s="1124">
        <v>274</v>
      </c>
      <c r="Q161" s="1139">
        <v>3</v>
      </c>
      <c r="R161" s="1140">
        <f t="shared" si="20"/>
        <v>57540</v>
      </c>
      <c r="S161" s="1135"/>
      <c r="T161" s="1136"/>
    </row>
    <row r="162" spans="1:20" ht="18" customHeight="1">
      <c r="A162" s="402"/>
      <c r="B162" s="949"/>
      <c r="C162" s="949"/>
      <c r="D162" s="403"/>
      <c r="E162" s="949"/>
      <c r="F162" s="949"/>
      <c r="G162" s="949"/>
      <c r="H162" s="683"/>
      <c r="I162" s="1915"/>
      <c r="J162" s="590"/>
      <c r="K162" s="1010" t="s">
        <v>1380</v>
      </c>
      <c r="L162" s="1012" t="s">
        <v>464</v>
      </c>
      <c r="M162" s="666">
        <f t="shared" si="21"/>
        <v>2466</v>
      </c>
      <c r="N162" s="1123"/>
      <c r="O162" s="1124">
        <v>9000</v>
      </c>
      <c r="P162" s="1124">
        <v>274</v>
      </c>
      <c r="Q162" s="1139">
        <v>1</v>
      </c>
      <c r="R162" s="1140">
        <f t="shared" si="20"/>
        <v>2466</v>
      </c>
      <c r="S162" s="1135"/>
      <c r="T162" s="1136"/>
    </row>
    <row r="163" spans="1:20" ht="18" customHeight="1">
      <c r="A163" s="402"/>
      <c r="B163" s="949"/>
      <c r="C163" s="949"/>
      <c r="D163" s="403"/>
      <c r="E163" s="949"/>
      <c r="F163" s="949"/>
      <c r="G163" s="949"/>
      <c r="H163" s="683"/>
      <c r="I163" s="1915"/>
      <c r="J163" s="590"/>
      <c r="K163" s="1010" t="s">
        <v>1381</v>
      </c>
      <c r="L163" s="1012" t="s">
        <v>464</v>
      </c>
      <c r="M163" s="666">
        <f t="shared" si="21"/>
        <v>5480</v>
      </c>
      <c r="N163" s="1123"/>
      <c r="O163" s="1124">
        <v>20000</v>
      </c>
      <c r="P163" s="1124">
        <v>274</v>
      </c>
      <c r="Q163" s="1139">
        <v>1</v>
      </c>
      <c r="R163" s="1140">
        <f t="shared" si="20"/>
        <v>5480</v>
      </c>
      <c r="S163" s="1135"/>
      <c r="T163" s="1136"/>
    </row>
    <row r="164" spans="1:20" ht="18" customHeight="1">
      <c r="A164" s="402"/>
      <c r="B164" s="949"/>
      <c r="C164" s="949"/>
      <c r="D164" s="403"/>
      <c r="E164" s="949"/>
      <c r="F164" s="949"/>
      <c r="G164" s="949"/>
      <c r="H164" s="683"/>
      <c r="I164" s="1915"/>
      <c r="J164" s="590"/>
      <c r="K164" s="450" t="s">
        <v>1382</v>
      </c>
      <c r="L164" s="1012" t="s">
        <v>464</v>
      </c>
      <c r="M164" s="666">
        <f t="shared" si="21"/>
        <v>6302</v>
      </c>
      <c r="N164" s="1123"/>
      <c r="O164" s="1124">
        <v>23000</v>
      </c>
      <c r="P164" s="1124">
        <v>274</v>
      </c>
      <c r="Q164" s="1139">
        <v>1</v>
      </c>
      <c r="R164" s="1140">
        <f t="shared" si="20"/>
        <v>6302</v>
      </c>
      <c r="S164" s="1135"/>
      <c r="T164" s="1136"/>
    </row>
    <row r="165" spans="1:20" ht="18" customHeight="1">
      <c r="A165" s="402"/>
      <c r="B165" s="949"/>
      <c r="C165" s="949"/>
      <c r="D165" s="403"/>
      <c r="E165" s="949"/>
      <c r="F165" s="949"/>
      <c r="G165" s="949"/>
      <c r="H165" s="683"/>
      <c r="I165" s="1915"/>
      <c r="J165" s="590"/>
      <c r="K165" s="450" t="s">
        <v>1383</v>
      </c>
      <c r="L165" s="1012" t="s">
        <v>464</v>
      </c>
      <c r="M165" s="666">
        <f t="shared" si="21"/>
        <v>8220</v>
      </c>
      <c r="N165" s="1123"/>
      <c r="O165" s="1124">
        <v>15000</v>
      </c>
      <c r="P165" s="1124">
        <v>274</v>
      </c>
      <c r="Q165" s="1139">
        <v>2</v>
      </c>
      <c r="R165" s="1140">
        <f t="shared" si="20"/>
        <v>8220</v>
      </c>
      <c r="S165" s="1135"/>
      <c r="T165" s="1136"/>
    </row>
    <row r="166" spans="1:20" ht="18" customHeight="1">
      <c r="A166" s="402"/>
      <c r="B166" s="949"/>
      <c r="C166" s="949"/>
      <c r="D166" s="403"/>
      <c r="E166" s="949"/>
      <c r="F166" s="949"/>
      <c r="G166" s="949"/>
      <c r="H166" s="683"/>
      <c r="I166" s="1915"/>
      <c r="J166" s="590"/>
      <c r="K166" s="450" t="s">
        <v>1384</v>
      </c>
      <c r="L166" s="1012" t="s">
        <v>464</v>
      </c>
      <c r="M166" s="666">
        <f t="shared" si="21"/>
        <v>4110</v>
      </c>
      <c r="N166" s="1123"/>
      <c r="O166" s="1124">
        <v>15000</v>
      </c>
      <c r="P166" s="1124">
        <v>274</v>
      </c>
      <c r="Q166" s="1139">
        <v>1</v>
      </c>
      <c r="R166" s="1140">
        <f t="shared" si="20"/>
        <v>4110</v>
      </c>
      <c r="S166" s="1135"/>
      <c r="T166" s="1136"/>
    </row>
    <row r="167" spans="1:20" ht="18" customHeight="1">
      <c r="A167" s="402"/>
      <c r="B167" s="949"/>
      <c r="C167" s="949"/>
      <c r="D167" s="403"/>
      <c r="E167" s="949"/>
      <c r="F167" s="949"/>
      <c r="G167" s="949"/>
      <c r="H167" s="683"/>
      <c r="I167" s="1915"/>
      <c r="J167" s="590"/>
      <c r="K167" s="450" t="s">
        <v>1385</v>
      </c>
      <c r="L167" s="1012"/>
      <c r="M167" s="666">
        <f t="shared" si="21"/>
        <v>1644</v>
      </c>
      <c r="N167" s="1123"/>
      <c r="O167" s="1124">
        <v>3000</v>
      </c>
      <c r="P167" s="1124">
        <v>274</v>
      </c>
      <c r="Q167" s="1139">
        <v>2</v>
      </c>
      <c r="R167" s="1140">
        <f t="shared" si="20"/>
        <v>1644</v>
      </c>
      <c r="S167" s="1135"/>
      <c r="T167" s="1136"/>
    </row>
    <row r="168" spans="1:20" ht="18" customHeight="1">
      <c r="A168" s="402"/>
      <c r="B168" s="949"/>
      <c r="C168" s="949"/>
      <c r="D168" s="403"/>
      <c r="E168" s="949"/>
      <c r="F168" s="949"/>
      <c r="G168" s="949"/>
      <c r="H168" s="683"/>
      <c r="I168" s="1915"/>
      <c r="J168" s="590"/>
      <c r="K168" s="450" t="s">
        <v>1386</v>
      </c>
      <c r="L168" s="1012" t="s">
        <v>464</v>
      </c>
      <c r="M168" s="666">
        <f t="shared" si="21"/>
        <v>19180</v>
      </c>
      <c r="N168" s="1123"/>
      <c r="O168" s="1124">
        <v>35000</v>
      </c>
      <c r="P168" s="1124">
        <v>274</v>
      </c>
      <c r="Q168" s="1139">
        <v>2</v>
      </c>
      <c r="R168" s="1140">
        <f t="shared" si="20"/>
        <v>19180</v>
      </c>
      <c r="S168" s="1135"/>
      <c r="T168" s="1136"/>
    </row>
    <row r="169" spans="1:20" ht="18" customHeight="1">
      <c r="A169" s="402"/>
      <c r="B169" s="949"/>
      <c r="C169" s="949"/>
      <c r="D169" s="403"/>
      <c r="E169" s="949"/>
      <c r="F169" s="949"/>
      <c r="G169" s="949"/>
      <c r="H169" s="683"/>
      <c r="I169" s="1915"/>
      <c r="J169" s="590"/>
      <c r="K169" s="450" t="s">
        <v>1387</v>
      </c>
      <c r="L169" s="1028" t="s">
        <v>242</v>
      </c>
      <c r="M169" s="666">
        <f t="shared" si="21"/>
        <v>2740</v>
      </c>
      <c r="N169" s="1123"/>
      <c r="O169" s="1124">
        <v>10000</v>
      </c>
      <c r="P169" s="1124">
        <v>274</v>
      </c>
      <c r="Q169" s="1139">
        <v>1</v>
      </c>
      <c r="R169" s="1140">
        <f t="shared" si="20"/>
        <v>2740</v>
      </c>
      <c r="S169" s="1135"/>
      <c r="T169" s="1136"/>
    </row>
    <row r="170" spans="1:20" ht="18" customHeight="1">
      <c r="A170" s="402"/>
      <c r="B170" s="949"/>
      <c r="C170" s="958"/>
      <c r="D170" s="403"/>
      <c r="E170" s="949"/>
      <c r="F170" s="949"/>
      <c r="G170" s="949"/>
      <c r="H170" s="683"/>
      <c r="I170" s="1915"/>
      <c r="J170" s="590"/>
      <c r="K170" s="450" t="s">
        <v>1388</v>
      </c>
      <c r="L170" s="1012" t="s">
        <v>464</v>
      </c>
      <c r="M170" s="666">
        <f t="shared" si="21"/>
        <v>5100</v>
      </c>
      <c r="N170" s="1123"/>
      <c r="O170" s="1124">
        <v>10000</v>
      </c>
      <c r="P170" s="1124">
        <v>85</v>
      </c>
      <c r="Q170" s="1139">
        <v>6</v>
      </c>
      <c r="R170" s="1140">
        <f t="shared" si="20"/>
        <v>5100</v>
      </c>
      <c r="S170" s="1138"/>
      <c r="T170" s="1141"/>
    </row>
    <row r="171" spans="1:20" ht="18" customHeight="1">
      <c r="A171" s="402"/>
      <c r="B171" s="949"/>
      <c r="C171" s="958"/>
      <c r="D171" s="403"/>
      <c r="E171" s="949"/>
      <c r="F171" s="949"/>
      <c r="G171" s="949"/>
      <c r="H171" s="683"/>
      <c r="I171" s="1915"/>
      <c r="J171" s="590"/>
      <c r="K171" s="450" t="s">
        <v>1389</v>
      </c>
      <c r="L171" s="1012" t="s">
        <v>464</v>
      </c>
      <c r="M171" s="666">
        <f t="shared" si="21"/>
        <v>1000</v>
      </c>
      <c r="N171" s="1123"/>
      <c r="O171" s="1124">
        <v>25000</v>
      </c>
      <c r="P171" s="1124">
        <v>10</v>
      </c>
      <c r="Q171" s="1135">
        <v>4</v>
      </c>
      <c r="R171" s="1140">
        <f t="shared" si="20"/>
        <v>1000</v>
      </c>
      <c r="S171" s="1138"/>
      <c r="T171" s="1141"/>
    </row>
    <row r="172" spans="1:20" ht="18" customHeight="1">
      <c r="A172" s="402"/>
      <c r="B172" s="949"/>
      <c r="C172" s="958"/>
      <c r="D172" s="403"/>
      <c r="E172" s="949"/>
      <c r="F172" s="949"/>
      <c r="G172" s="949"/>
      <c r="H172" s="683"/>
      <c r="I172" s="1915"/>
      <c r="J172" s="590"/>
      <c r="K172" s="1010" t="s">
        <v>1390</v>
      </c>
      <c r="L172" s="1029" t="s">
        <v>464</v>
      </c>
      <c r="M172" s="666">
        <f>S172</f>
        <v>34196</v>
      </c>
      <c r="N172" s="1123"/>
      <c r="O172" s="1124">
        <v>1300</v>
      </c>
      <c r="P172" s="1124">
        <v>274</v>
      </c>
      <c r="Q172" s="1138">
        <v>8</v>
      </c>
      <c r="R172" s="1138">
        <v>12</v>
      </c>
      <c r="S172" s="1120">
        <f>ROUNDUP(O172*P172*Q172*R172/1000,0)</f>
        <v>34196</v>
      </c>
      <c r="T172" s="1136"/>
    </row>
    <row r="173" spans="1:20" ht="18" customHeight="1">
      <c r="A173" s="402"/>
      <c r="B173" s="949"/>
      <c r="C173" s="958"/>
      <c r="D173" s="403"/>
      <c r="E173" s="949"/>
      <c r="F173" s="949"/>
      <c r="G173" s="949"/>
      <c r="H173" s="683"/>
      <c r="I173" s="1915"/>
      <c r="J173" s="590"/>
      <c r="K173" s="1010" t="s">
        <v>1391</v>
      </c>
      <c r="L173" s="1029" t="s">
        <v>464</v>
      </c>
      <c r="M173" s="666">
        <f>R173</f>
        <v>8220</v>
      </c>
      <c r="N173" s="1123"/>
      <c r="O173" s="1124">
        <v>15000</v>
      </c>
      <c r="P173" s="1124">
        <v>274</v>
      </c>
      <c r="Q173" s="1138">
        <v>2</v>
      </c>
      <c r="R173" s="1140">
        <f t="shared" ref="R173:R178" si="22">ROUNDUP(O173*P173*Q173/1000,0)</f>
        <v>8220</v>
      </c>
      <c r="S173" s="1135"/>
      <c r="T173" s="1136"/>
    </row>
    <row r="174" spans="1:20" ht="18" customHeight="1">
      <c r="A174" s="402"/>
      <c r="B174" s="949"/>
      <c r="C174" s="958"/>
      <c r="D174" s="403"/>
      <c r="E174" s="949"/>
      <c r="F174" s="949"/>
      <c r="G174" s="949"/>
      <c r="H174" s="683"/>
      <c r="I174" s="1915"/>
      <c r="J174" s="590"/>
      <c r="K174" s="450" t="s">
        <v>1392</v>
      </c>
      <c r="L174" s="1029" t="s">
        <v>464</v>
      </c>
      <c r="M174" s="666">
        <f t="shared" ref="M174:M178" si="23">R174</f>
        <v>4110</v>
      </c>
      <c r="N174" s="1123"/>
      <c r="O174" s="1124">
        <v>15000</v>
      </c>
      <c r="P174" s="1124">
        <v>274</v>
      </c>
      <c r="Q174" s="1138">
        <v>1</v>
      </c>
      <c r="R174" s="1140">
        <f t="shared" si="22"/>
        <v>4110</v>
      </c>
      <c r="S174" s="1135"/>
      <c r="T174" s="1136"/>
    </row>
    <row r="175" spans="1:20" ht="18" customHeight="1">
      <c r="A175" s="402"/>
      <c r="B175" s="949"/>
      <c r="C175" s="958"/>
      <c r="D175" s="403"/>
      <c r="E175" s="949"/>
      <c r="F175" s="949"/>
      <c r="G175" s="949"/>
      <c r="H175" s="683"/>
      <c r="I175" s="1915"/>
      <c r="J175" s="590"/>
      <c r="K175" s="450" t="s">
        <v>1393</v>
      </c>
      <c r="L175" s="1012" t="s">
        <v>464</v>
      </c>
      <c r="M175" s="666">
        <f t="shared" si="23"/>
        <v>3836</v>
      </c>
      <c r="N175" s="1123"/>
      <c r="O175" s="1124">
        <v>7000</v>
      </c>
      <c r="P175" s="1124">
        <v>274</v>
      </c>
      <c r="Q175" s="1135">
        <v>2</v>
      </c>
      <c r="R175" s="1140">
        <f t="shared" si="22"/>
        <v>3836</v>
      </c>
      <c r="S175" s="1135"/>
      <c r="T175" s="1136"/>
    </row>
    <row r="176" spans="1:20" ht="18" customHeight="1">
      <c r="A176" s="402"/>
      <c r="B176" s="949"/>
      <c r="C176" s="958"/>
      <c r="D176" s="403"/>
      <c r="E176" s="949"/>
      <c r="F176" s="949"/>
      <c r="G176" s="949"/>
      <c r="H176" s="683"/>
      <c r="I176" s="1915"/>
      <c r="J176" s="590"/>
      <c r="K176" s="450" t="s">
        <v>1394</v>
      </c>
      <c r="L176" s="1012" t="s">
        <v>464</v>
      </c>
      <c r="M176" s="666">
        <f t="shared" si="23"/>
        <v>4600</v>
      </c>
      <c r="N176" s="1123"/>
      <c r="O176" s="1124">
        <v>20000</v>
      </c>
      <c r="P176" s="1124">
        <v>230</v>
      </c>
      <c r="Q176" s="1135">
        <v>1</v>
      </c>
      <c r="R176" s="1140">
        <f t="shared" si="22"/>
        <v>4600</v>
      </c>
      <c r="S176" s="1135"/>
      <c r="T176" s="1136"/>
    </row>
    <row r="177" spans="1:20" ht="18" customHeight="1">
      <c r="A177" s="402"/>
      <c r="B177" s="949"/>
      <c r="C177" s="958"/>
      <c r="D177" s="403"/>
      <c r="E177" s="949"/>
      <c r="F177" s="949"/>
      <c r="G177" s="949"/>
      <c r="H177" s="683"/>
      <c r="I177" s="1915"/>
      <c r="J177" s="590"/>
      <c r="K177" s="450" t="s">
        <v>1395</v>
      </c>
      <c r="L177" s="1012" t="s">
        <v>464</v>
      </c>
      <c r="M177" s="666">
        <f t="shared" si="23"/>
        <v>13700</v>
      </c>
      <c r="N177" s="1123"/>
      <c r="O177" s="1124">
        <v>500</v>
      </c>
      <c r="P177" s="1124">
        <v>274</v>
      </c>
      <c r="Q177" s="1135">
        <v>100</v>
      </c>
      <c r="R177" s="1140">
        <f t="shared" si="22"/>
        <v>13700</v>
      </c>
      <c r="S177" s="1135"/>
      <c r="T177" s="1136"/>
    </row>
    <row r="178" spans="1:20" ht="18" customHeight="1">
      <c r="A178" s="402"/>
      <c r="B178" s="949"/>
      <c r="C178" s="958"/>
      <c r="D178" s="403"/>
      <c r="E178" s="949"/>
      <c r="F178" s="949"/>
      <c r="G178" s="949"/>
      <c r="H178" s="683"/>
      <c r="I178" s="1915"/>
      <c r="J178" s="590"/>
      <c r="K178" s="881" t="s">
        <v>1396</v>
      </c>
      <c r="L178" s="1012" t="s">
        <v>464</v>
      </c>
      <c r="M178" s="1824">
        <f t="shared" si="23"/>
        <v>4384</v>
      </c>
      <c r="N178" s="1123"/>
      <c r="O178" s="1124">
        <v>16000</v>
      </c>
      <c r="P178" s="1124">
        <v>274</v>
      </c>
      <c r="Q178" s="1135">
        <v>1</v>
      </c>
      <c r="R178" s="1140">
        <f t="shared" si="22"/>
        <v>4384</v>
      </c>
      <c r="S178" s="1135"/>
      <c r="T178" s="1136"/>
    </row>
    <row r="179" spans="1:20" ht="18" customHeight="1">
      <c r="A179" s="402"/>
      <c r="B179" s="949"/>
      <c r="C179" s="958"/>
      <c r="D179" s="403"/>
      <c r="E179" s="949"/>
      <c r="F179" s="949"/>
      <c r="G179" s="949"/>
      <c r="H179" s="683"/>
      <c r="I179" s="1915"/>
      <c r="J179" s="590"/>
      <c r="K179" s="881" t="s">
        <v>1397</v>
      </c>
      <c r="L179" s="1012" t="s">
        <v>464</v>
      </c>
      <c r="M179" s="1824">
        <f>S179</f>
        <v>341952</v>
      </c>
      <c r="N179" s="1123"/>
      <c r="O179" s="1124">
        <v>4000</v>
      </c>
      <c r="P179" s="1124">
        <v>274</v>
      </c>
      <c r="Q179" s="1135">
        <v>26</v>
      </c>
      <c r="R179" s="1135">
        <v>12</v>
      </c>
      <c r="S179" s="1120">
        <f>ROUNDUP(O179*P179*Q179*R179/1000,0)</f>
        <v>341952</v>
      </c>
      <c r="T179" s="1136"/>
    </row>
    <row r="180" spans="1:20" ht="18" customHeight="1">
      <c r="A180" s="402"/>
      <c r="B180" s="949"/>
      <c r="C180" s="958"/>
      <c r="D180" s="403"/>
      <c r="E180" s="949"/>
      <c r="F180" s="949"/>
      <c r="G180" s="949"/>
      <c r="H180" s="683"/>
      <c r="I180" s="1915"/>
      <c r="J180" s="590"/>
      <c r="K180" s="450" t="s">
        <v>1398</v>
      </c>
      <c r="L180" s="1012" t="s">
        <v>464</v>
      </c>
      <c r="M180" s="1824">
        <f>R180</f>
        <v>1000</v>
      </c>
      <c r="N180" s="1123"/>
      <c r="O180" s="1124">
        <v>10000</v>
      </c>
      <c r="P180" s="1124">
        <v>100</v>
      </c>
      <c r="Q180" s="1135">
        <v>1</v>
      </c>
      <c r="R180" s="1140">
        <f>ROUNDUP(O180*P180*Q180/1000,0)</f>
        <v>1000</v>
      </c>
      <c r="S180" s="1135"/>
      <c r="T180" s="1136"/>
    </row>
    <row r="181" spans="1:20" ht="18" customHeight="1">
      <c r="A181" s="402"/>
      <c r="B181" s="949"/>
      <c r="C181" s="958"/>
      <c r="D181" s="403"/>
      <c r="E181" s="949"/>
      <c r="F181" s="949"/>
      <c r="G181" s="949"/>
      <c r="H181" s="683"/>
      <c r="I181" s="1915"/>
      <c r="J181" s="590"/>
      <c r="K181" s="450" t="s">
        <v>1399</v>
      </c>
      <c r="L181" s="1012" t="s">
        <v>464</v>
      </c>
      <c r="M181" s="1824">
        <f>R181</f>
        <v>300</v>
      </c>
      <c r="N181" s="1123"/>
      <c r="O181" s="1124">
        <v>15000</v>
      </c>
      <c r="P181" s="1124">
        <v>20</v>
      </c>
      <c r="Q181" s="1135">
        <v>1</v>
      </c>
      <c r="R181" s="1140">
        <f>ROUNDUP(O181*P181*Q181/1000,0)</f>
        <v>300</v>
      </c>
      <c r="S181" s="1135"/>
      <c r="T181" s="1136"/>
    </row>
    <row r="182" spans="1:20" ht="18" customHeight="1">
      <c r="A182" s="402"/>
      <c r="B182" s="949"/>
      <c r="C182" s="958"/>
      <c r="D182" s="403"/>
      <c r="E182" s="958"/>
      <c r="F182" s="958"/>
      <c r="G182" s="958"/>
      <c r="H182" s="683"/>
      <c r="I182" s="1915"/>
      <c r="J182" s="590"/>
      <c r="K182" s="881" t="s">
        <v>1400</v>
      </c>
      <c r="L182" s="1029" t="s">
        <v>464</v>
      </c>
      <c r="M182" s="1824">
        <f>S182</f>
        <v>5184</v>
      </c>
      <c r="N182" s="1123"/>
      <c r="O182" s="1124">
        <v>9000</v>
      </c>
      <c r="P182" s="1124">
        <v>6</v>
      </c>
      <c r="Q182" s="1135">
        <v>8</v>
      </c>
      <c r="R182" s="1135">
        <v>12</v>
      </c>
      <c r="S182" s="1120">
        <f>ROUNDUP(O182*P182*Q182*R182/1000,0)</f>
        <v>5184</v>
      </c>
      <c r="T182" s="685"/>
    </row>
    <row r="183" spans="1:20" ht="18" customHeight="1">
      <c r="A183" s="340"/>
      <c r="B183" s="344"/>
      <c r="C183" s="344"/>
      <c r="D183" s="341" t="s">
        <v>1237</v>
      </c>
      <c r="E183" s="342"/>
      <c r="F183" s="342"/>
      <c r="G183" s="343"/>
      <c r="H183" s="1866">
        <f>H184</f>
        <v>407000</v>
      </c>
      <c r="I183" s="1858">
        <v>426800</v>
      </c>
      <c r="J183" s="1185">
        <f>H183-I183</f>
        <v>-19800</v>
      </c>
      <c r="K183" s="494"/>
      <c r="L183" s="541"/>
      <c r="M183" s="668"/>
      <c r="N183" s="1123"/>
      <c r="O183" s="1124"/>
      <c r="P183" s="1124"/>
      <c r="Q183" s="1142"/>
      <c r="R183" s="1142"/>
      <c r="S183" s="1118"/>
      <c r="T183" s="1119"/>
    </row>
    <row r="184" spans="1:20" ht="18" customHeight="1">
      <c r="A184" s="340"/>
      <c r="B184" s="344"/>
      <c r="C184" s="347"/>
      <c r="D184" s="348"/>
      <c r="E184" s="341" t="s">
        <v>987</v>
      </c>
      <c r="F184" s="342"/>
      <c r="G184" s="343"/>
      <c r="H184" s="1919">
        <f>H185</f>
        <v>407000</v>
      </c>
      <c r="I184" s="1857">
        <v>426800</v>
      </c>
      <c r="J184" s="1185">
        <f t="shared" ref="J184:J186" si="24">H184-I184</f>
        <v>-19800</v>
      </c>
      <c r="K184" s="427"/>
      <c r="L184" s="428"/>
      <c r="M184" s="668"/>
      <c r="N184" s="1123"/>
      <c r="O184" s="1124"/>
      <c r="P184" s="1124"/>
      <c r="Q184" s="1143"/>
      <c r="R184" s="1143"/>
      <c r="S184" s="1127"/>
      <c r="T184" s="1128"/>
    </row>
    <row r="185" spans="1:20" ht="18" customHeight="1">
      <c r="A185" s="402"/>
      <c r="B185" s="949"/>
      <c r="C185" s="949"/>
      <c r="D185" s="949"/>
      <c r="E185" s="949"/>
      <c r="F185" s="951" t="s">
        <v>1238</v>
      </c>
      <c r="G185" s="951"/>
      <c r="H185" s="683">
        <f>H186</f>
        <v>407000</v>
      </c>
      <c r="I185" s="1918">
        <v>426800</v>
      </c>
      <c r="J185" s="594">
        <f t="shared" si="24"/>
        <v>-19800</v>
      </c>
      <c r="K185" s="1017"/>
      <c r="L185" s="1030"/>
      <c r="M185" s="668"/>
      <c r="N185" s="1123"/>
      <c r="O185" s="1124"/>
      <c r="P185" s="1124"/>
      <c r="Q185" s="1127"/>
      <c r="R185" s="1127"/>
      <c r="S185" s="1120"/>
      <c r="T185" s="1121"/>
    </row>
    <row r="186" spans="1:20" ht="18" customHeight="1">
      <c r="A186" s="402"/>
      <c r="B186" s="949"/>
      <c r="C186" s="949"/>
      <c r="D186" s="949"/>
      <c r="E186" s="949"/>
      <c r="F186" s="966"/>
      <c r="G186" s="950" t="s">
        <v>1239</v>
      </c>
      <c r="H186" s="1876">
        <f>M186</f>
        <v>407000</v>
      </c>
      <c r="I186" s="1916">
        <v>426800</v>
      </c>
      <c r="J186" s="594">
        <f t="shared" si="24"/>
        <v>-19800</v>
      </c>
      <c r="K186" s="1031" t="s">
        <v>418</v>
      </c>
      <c r="L186" s="1024"/>
      <c r="M186" s="1824">
        <f>M187+M188+M189</f>
        <v>407000</v>
      </c>
      <c r="N186" s="1123"/>
      <c r="O186" s="1124"/>
      <c r="P186" s="1124"/>
      <c r="Q186" s="1131"/>
      <c r="R186" s="1131"/>
      <c r="S186" s="1120"/>
      <c r="T186" s="1136"/>
    </row>
    <row r="187" spans="1:20" ht="18" customHeight="1">
      <c r="A187" s="402"/>
      <c r="B187" s="949"/>
      <c r="C187" s="949"/>
      <c r="D187" s="949"/>
      <c r="E187" s="949"/>
      <c r="F187" s="952"/>
      <c r="G187" s="967"/>
      <c r="H187" s="683"/>
      <c r="I187" s="1915"/>
      <c r="J187" s="590"/>
      <c r="K187" s="881" t="s">
        <v>1401</v>
      </c>
      <c r="L187" s="1025" t="s">
        <v>464</v>
      </c>
      <c r="M187" s="666">
        <f>R187</f>
        <v>364000</v>
      </c>
      <c r="N187" s="1123"/>
      <c r="O187" s="1124">
        <v>7000000</v>
      </c>
      <c r="P187" s="1124">
        <v>52</v>
      </c>
      <c r="Q187" s="1120">
        <v>1</v>
      </c>
      <c r="R187" s="1140">
        <f>ROUNDUP(O187*P187*Q187/1000,0)</f>
        <v>364000</v>
      </c>
      <c r="S187" s="1120"/>
      <c r="T187" s="1121"/>
    </row>
    <row r="188" spans="1:20" ht="18" customHeight="1">
      <c r="A188" s="402"/>
      <c r="B188" s="949"/>
      <c r="C188" s="949"/>
      <c r="D188" s="949"/>
      <c r="E188" s="949"/>
      <c r="F188" s="952"/>
      <c r="G188" s="968"/>
      <c r="H188" s="683"/>
      <c r="I188" s="1915"/>
      <c r="J188" s="590"/>
      <c r="K188" s="857" t="s">
        <v>1402</v>
      </c>
      <c r="L188" s="1032" t="s">
        <v>464</v>
      </c>
      <c r="M188" s="666">
        <f t="shared" ref="M188:M189" si="25">R188</f>
        <v>25000</v>
      </c>
      <c r="N188" s="1123"/>
      <c r="O188" s="1124">
        <v>25000000</v>
      </c>
      <c r="P188" s="1124">
        <v>1</v>
      </c>
      <c r="Q188" s="1120">
        <v>1</v>
      </c>
      <c r="R188" s="1140">
        <f>ROUNDUP(O188*P188*Q188/1000,0)</f>
        <v>25000</v>
      </c>
      <c r="S188" s="1120"/>
      <c r="T188" s="1136"/>
    </row>
    <row r="189" spans="1:20" ht="18" customHeight="1">
      <c r="A189" s="402"/>
      <c r="B189" s="949"/>
      <c r="C189" s="949"/>
      <c r="D189" s="949"/>
      <c r="E189" s="949"/>
      <c r="F189" s="952"/>
      <c r="G189" s="968"/>
      <c r="H189" s="1871"/>
      <c r="I189" s="1920"/>
      <c r="J189" s="595"/>
      <c r="K189" s="857" t="s">
        <v>1403</v>
      </c>
      <c r="L189" s="1032" t="s">
        <v>464</v>
      </c>
      <c r="M189" s="666">
        <f t="shared" si="25"/>
        <v>18000</v>
      </c>
      <c r="N189" s="1123"/>
      <c r="O189" s="1124">
        <v>4500000</v>
      </c>
      <c r="P189" s="1124">
        <v>4</v>
      </c>
      <c r="Q189" s="1120">
        <v>1</v>
      </c>
      <c r="R189" s="1140">
        <f>ROUNDUP(O189*P189*Q189/1000,0)</f>
        <v>18000</v>
      </c>
      <c r="S189" s="1142"/>
      <c r="T189" s="685"/>
    </row>
    <row r="190" spans="1:20" ht="18" customHeight="1">
      <c r="A190" s="402"/>
      <c r="B190" s="949"/>
      <c r="C190" s="949"/>
      <c r="D190" s="969" t="s">
        <v>329</v>
      </c>
      <c r="E190" s="970"/>
      <c r="F190" s="971"/>
      <c r="G190" s="972"/>
      <c r="H190" s="1879">
        <f>H191+H212</f>
        <v>97217</v>
      </c>
      <c r="I190" s="1921">
        <v>0</v>
      </c>
      <c r="J190" s="667">
        <f>H190-I190</f>
        <v>97217</v>
      </c>
      <c r="K190" s="1033"/>
      <c r="L190" s="1034"/>
      <c r="M190" s="1534"/>
      <c r="N190" s="1124"/>
      <c r="O190" s="1124"/>
      <c r="P190" s="1124"/>
      <c r="Q190" s="1120"/>
      <c r="R190" s="1140"/>
      <c r="S190" s="1142"/>
      <c r="T190" s="1142"/>
    </row>
    <row r="191" spans="1:20" ht="18" customHeight="1">
      <c r="A191" s="402"/>
      <c r="B191" s="949"/>
      <c r="C191" s="949"/>
      <c r="D191" s="950"/>
      <c r="E191" s="969" t="s">
        <v>984</v>
      </c>
      <c r="F191" s="955"/>
      <c r="G191" s="973"/>
      <c r="H191" s="1879">
        <f>H192</f>
        <v>67217</v>
      </c>
      <c r="I191" s="1921">
        <v>0</v>
      </c>
      <c r="J191" s="667">
        <f t="shared" ref="J191:J193" si="26">H191-I191</f>
        <v>67217</v>
      </c>
      <c r="K191" s="1033"/>
      <c r="L191" s="1034"/>
      <c r="M191" s="1534"/>
      <c r="N191" s="1124"/>
      <c r="O191" s="1124"/>
      <c r="P191" s="1124"/>
      <c r="Q191" s="1120"/>
      <c r="R191" s="1140"/>
      <c r="S191" s="1142"/>
      <c r="T191" s="1142"/>
    </row>
    <row r="192" spans="1:20" ht="18" customHeight="1">
      <c r="A192" s="402"/>
      <c r="B192" s="949"/>
      <c r="C192" s="949"/>
      <c r="D192" s="949"/>
      <c r="E192" s="974"/>
      <c r="F192" s="962" t="s">
        <v>985</v>
      </c>
      <c r="G192" s="972"/>
      <c r="H192" s="1871">
        <f>H193</f>
        <v>67217</v>
      </c>
      <c r="I192" s="1920">
        <v>0</v>
      </c>
      <c r="J192" s="595">
        <f t="shared" si="26"/>
        <v>67217</v>
      </c>
      <c r="K192" s="1033"/>
      <c r="L192" s="1034"/>
      <c r="M192" s="668"/>
      <c r="N192" s="1124"/>
      <c r="O192" s="1124"/>
      <c r="P192" s="1124"/>
      <c r="Q192" s="1120"/>
      <c r="R192" s="1140"/>
      <c r="S192" s="1142"/>
      <c r="T192" s="1142"/>
    </row>
    <row r="193" spans="1:20" ht="18" customHeight="1">
      <c r="A193" s="402"/>
      <c r="B193" s="949"/>
      <c r="C193" s="949"/>
      <c r="D193" s="949"/>
      <c r="E193" s="949"/>
      <c r="F193" s="950"/>
      <c r="G193" s="975" t="s">
        <v>1240</v>
      </c>
      <c r="H193" s="683">
        <f>M193</f>
        <v>67217</v>
      </c>
      <c r="I193" s="1915">
        <v>0</v>
      </c>
      <c r="J193" s="590">
        <f t="shared" si="26"/>
        <v>67217</v>
      </c>
      <c r="K193" s="1035" t="s">
        <v>1240</v>
      </c>
      <c r="L193" s="1036"/>
      <c r="M193" s="1824">
        <f>M194</f>
        <v>67217</v>
      </c>
      <c r="N193" s="1124"/>
      <c r="O193" s="1124"/>
      <c r="P193" s="1124"/>
      <c r="Q193" s="1120"/>
      <c r="R193" s="1140"/>
      <c r="S193" s="1142"/>
      <c r="T193" s="1142"/>
    </row>
    <row r="194" spans="1:20" ht="18" customHeight="1">
      <c r="A194" s="402"/>
      <c r="B194" s="949"/>
      <c r="C194" s="949"/>
      <c r="D194" s="949"/>
      <c r="E194" s="949"/>
      <c r="F194" s="952"/>
      <c r="G194" s="976"/>
      <c r="H194" s="1862"/>
      <c r="I194" s="1915"/>
      <c r="J194" s="590"/>
      <c r="K194" s="1070" t="s">
        <v>1404</v>
      </c>
      <c r="L194" s="996"/>
      <c r="M194" s="1824">
        <f>M195+M196+M197+M198+M199+M203+M204+M205+M209+M210+M211</f>
        <v>67217</v>
      </c>
      <c r="N194" s="1124"/>
      <c r="O194" s="1104"/>
      <c r="P194" s="1104"/>
      <c r="Q194" s="1105"/>
      <c r="R194" s="1106"/>
      <c r="S194" s="1105"/>
      <c r="T194" s="1107"/>
    </row>
    <row r="195" spans="1:20" ht="18" customHeight="1">
      <c r="A195" s="402"/>
      <c r="B195" s="949"/>
      <c r="C195" s="949"/>
      <c r="D195" s="949"/>
      <c r="E195" s="949"/>
      <c r="F195" s="952"/>
      <c r="G195" s="977"/>
      <c r="H195" s="683"/>
      <c r="I195" s="1915"/>
      <c r="J195" s="590"/>
      <c r="K195" s="1037" t="s">
        <v>1405</v>
      </c>
      <c r="L195" s="996" t="s">
        <v>464</v>
      </c>
      <c r="M195" s="666">
        <f>R195</f>
        <v>21578</v>
      </c>
      <c r="N195" s="1124"/>
      <c r="O195" s="1104">
        <v>1798150</v>
      </c>
      <c r="P195" s="1104">
        <v>4</v>
      </c>
      <c r="Q195" s="1105">
        <v>3</v>
      </c>
      <c r="R195" s="1106">
        <f>ROUNDUP(O195*P195*Q195/1000,0)</f>
        <v>21578</v>
      </c>
      <c r="S195" s="1105"/>
      <c r="T195" s="1107"/>
    </row>
    <row r="196" spans="1:20" ht="18" customHeight="1">
      <c r="A196" s="402"/>
      <c r="B196" s="949"/>
      <c r="C196" s="949"/>
      <c r="D196" s="949"/>
      <c r="E196" s="949"/>
      <c r="F196" s="952"/>
      <c r="G196" s="977"/>
      <c r="H196" s="683"/>
      <c r="I196" s="1915"/>
      <c r="J196" s="590"/>
      <c r="K196" s="1037" t="s">
        <v>1406</v>
      </c>
      <c r="L196" s="996" t="s">
        <v>464</v>
      </c>
      <c r="M196" s="666">
        <f t="shared" ref="M196:M198" si="27">R196</f>
        <v>1080</v>
      </c>
      <c r="N196" s="1124"/>
      <c r="O196" s="1104">
        <v>90000</v>
      </c>
      <c r="P196" s="1104">
        <v>4</v>
      </c>
      <c r="Q196" s="1105">
        <v>3</v>
      </c>
      <c r="R196" s="1106">
        <f>ROUNDUP(O196*P196*Q196/1000,0)</f>
        <v>1080</v>
      </c>
      <c r="S196" s="1105"/>
      <c r="T196" s="1107"/>
    </row>
    <row r="197" spans="1:20" ht="18" customHeight="1">
      <c r="A197" s="402"/>
      <c r="B197" s="949"/>
      <c r="C197" s="949"/>
      <c r="D197" s="949"/>
      <c r="E197" s="949"/>
      <c r="F197" s="952"/>
      <c r="G197" s="977"/>
      <c r="H197" s="683"/>
      <c r="I197" s="1915"/>
      <c r="J197" s="590"/>
      <c r="K197" s="1037" t="s">
        <v>1407</v>
      </c>
      <c r="L197" s="996" t="s">
        <v>464</v>
      </c>
      <c r="M197" s="666">
        <f t="shared" si="27"/>
        <v>840</v>
      </c>
      <c r="N197" s="1124"/>
      <c r="O197" s="1104">
        <v>70000</v>
      </c>
      <c r="P197" s="1104">
        <v>4</v>
      </c>
      <c r="Q197" s="1105">
        <v>3</v>
      </c>
      <c r="R197" s="1106">
        <f>ROUNDUP(O197*P197*Q197/1000,0)</f>
        <v>840</v>
      </c>
      <c r="S197" s="1105"/>
      <c r="T197" s="1107"/>
    </row>
    <row r="198" spans="1:20" ht="18" customHeight="1">
      <c r="A198" s="402"/>
      <c r="B198" s="949"/>
      <c r="C198" s="949"/>
      <c r="D198" s="949"/>
      <c r="E198" s="949"/>
      <c r="F198" s="952"/>
      <c r="G198" s="977"/>
      <c r="H198" s="683"/>
      <c r="I198" s="1915"/>
      <c r="J198" s="590"/>
      <c r="K198" s="1037" t="s">
        <v>1408</v>
      </c>
      <c r="L198" s="996" t="s">
        <v>464</v>
      </c>
      <c r="M198" s="666">
        <f t="shared" si="27"/>
        <v>2280</v>
      </c>
      <c r="N198" s="1124"/>
      <c r="O198" s="1104">
        <v>190000</v>
      </c>
      <c r="P198" s="1104">
        <v>4</v>
      </c>
      <c r="Q198" s="1105">
        <v>3</v>
      </c>
      <c r="R198" s="1106">
        <f>ROUNDUP(O198*P198*Q198/1000,0)</f>
        <v>2280</v>
      </c>
      <c r="S198" s="1105"/>
      <c r="T198" s="1107"/>
    </row>
    <row r="199" spans="1:20" ht="18" customHeight="1">
      <c r="A199" s="402"/>
      <c r="B199" s="949"/>
      <c r="C199" s="949"/>
      <c r="D199" s="949"/>
      <c r="E199" s="949"/>
      <c r="F199" s="952"/>
      <c r="G199" s="977"/>
      <c r="H199" s="683"/>
      <c r="I199" s="1915"/>
      <c r="J199" s="590"/>
      <c r="K199" s="1037" t="s">
        <v>1277</v>
      </c>
      <c r="L199" s="996" t="s">
        <v>464</v>
      </c>
      <c r="M199" s="666">
        <f>SUM(M200:M202)</f>
        <v>22922</v>
      </c>
      <c r="N199" s="1124"/>
      <c r="O199" s="1104"/>
      <c r="P199" s="1104"/>
      <c r="Q199" s="1105"/>
      <c r="R199" s="1106"/>
      <c r="S199" s="1105"/>
      <c r="T199" s="1107"/>
    </row>
    <row r="200" spans="1:20" ht="18" customHeight="1">
      <c r="A200" s="402"/>
      <c r="B200" s="949"/>
      <c r="C200" s="949"/>
      <c r="D200" s="949"/>
      <c r="E200" s="949"/>
      <c r="F200" s="952"/>
      <c r="G200" s="977"/>
      <c r="H200" s="683"/>
      <c r="I200" s="1915"/>
      <c r="J200" s="590"/>
      <c r="K200" s="1037" t="s">
        <v>1409</v>
      </c>
      <c r="L200" s="996" t="s">
        <v>464</v>
      </c>
      <c r="M200" s="666">
        <f>R200</f>
        <v>8593</v>
      </c>
      <c r="N200" s="1124"/>
      <c r="O200" s="1104">
        <v>2148150</v>
      </c>
      <c r="P200" s="1144">
        <v>1</v>
      </c>
      <c r="Q200" s="1105">
        <v>4</v>
      </c>
      <c r="R200" s="1106">
        <f>ROUNDUP(O200*P200*Q200/1000,0)</f>
        <v>8593</v>
      </c>
      <c r="S200" s="1105"/>
      <c r="T200" s="1107"/>
    </row>
    <row r="201" spans="1:20" ht="18" customHeight="1">
      <c r="A201" s="402"/>
      <c r="B201" s="949"/>
      <c r="C201" s="949"/>
      <c r="D201" s="949"/>
      <c r="E201" s="949"/>
      <c r="F201" s="952"/>
      <c r="G201" s="977"/>
      <c r="H201" s="683"/>
      <c r="I201" s="1915"/>
      <c r="J201" s="590"/>
      <c r="K201" s="1037" t="s">
        <v>1410</v>
      </c>
      <c r="L201" s="996" t="s">
        <v>464</v>
      </c>
      <c r="M201" s="666">
        <f t="shared" ref="M201:M204" si="28">R201</f>
        <v>12889</v>
      </c>
      <c r="N201" s="1124"/>
      <c r="O201" s="1104">
        <v>2148150</v>
      </c>
      <c r="P201" s="1144">
        <v>1.5</v>
      </c>
      <c r="Q201" s="1105">
        <v>4</v>
      </c>
      <c r="R201" s="1106">
        <f>ROUNDUP(O201*P201*Q201/1000,0)</f>
        <v>12889</v>
      </c>
      <c r="S201" s="1105"/>
      <c r="T201" s="1107"/>
    </row>
    <row r="202" spans="1:20" ht="18" customHeight="1">
      <c r="A202" s="402"/>
      <c r="B202" s="949"/>
      <c r="C202" s="949"/>
      <c r="D202" s="949"/>
      <c r="E202" s="949"/>
      <c r="F202" s="952"/>
      <c r="G202" s="977"/>
      <c r="H202" s="683"/>
      <c r="I202" s="1915"/>
      <c r="J202" s="590"/>
      <c r="K202" s="1037" t="s">
        <v>1411</v>
      </c>
      <c r="L202" s="996" t="s">
        <v>464</v>
      </c>
      <c r="M202" s="666">
        <f t="shared" si="28"/>
        <v>1440</v>
      </c>
      <c r="N202" s="1124"/>
      <c r="O202" s="1104">
        <v>120000</v>
      </c>
      <c r="P202" s="1104">
        <v>4</v>
      </c>
      <c r="Q202" s="1105">
        <v>3</v>
      </c>
      <c r="R202" s="1106">
        <f>ROUNDUP(O202*P202*Q202/1000,0)</f>
        <v>1440</v>
      </c>
      <c r="S202" s="1105"/>
      <c r="T202" s="1107"/>
    </row>
    <row r="203" spans="1:20" ht="18" customHeight="1">
      <c r="A203" s="402"/>
      <c r="B203" s="949"/>
      <c r="C203" s="949"/>
      <c r="D203" s="949"/>
      <c r="E203" s="949"/>
      <c r="F203" s="952"/>
      <c r="G203" s="977"/>
      <c r="H203" s="683"/>
      <c r="I203" s="1915"/>
      <c r="J203" s="590"/>
      <c r="K203" s="1037" t="s">
        <v>1412</v>
      </c>
      <c r="L203" s="996" t="s">
        <v>464</v>
      </c>
      <c r="M203" s="666">
        <f t="shared" si="28"/>
        <v>840</v>
      </c>
      <c r="N203" s="1124"/>
      <c r="O203" s="1104">
        <v>70000</v>
      </c>
      <c r="P203" s="1104">
        <v>4</v>
      </c>
      <c r="Q203" s="1105">
        <v>3</v>
      </c>
      <c r="R203" s="1106">
        <f>ROUNDUP(O203*P203*Q203/1000,0)</f>
        <v>840</v>
      </c>
      <c r="S203" s="1105"/>
      <c r="T203" s="1107"/>
    </row>
    <row r="204" spans="1:20" ht="18" customHeight="1">
      <c r="A204" s="402"/>
      <c r="B204" s="949"/>
      <c r="C204" s="949"/>
      <c r="D204" s="949"/>
      <c r="E204" s="949"/>
      <c r="F204" s="952"/>
      <c r="G204" s="977"/>
      <c r="H204" s="683"/>
      <c r="I204" s="1915"/>
      <c r="J204" s="590"/>
      <c r="K204" s="1037" t="s">
        <v>1413</v>
      </c>
      <c r="L204" s="996" t="s">
        <v>464</v>
      </c>
      <c r="M204" s="666">
        <f t="shared" si="28"/>
        <v>324</v>
      </c>
      <c r="N204" s="1124"/>
      <c r="O204" s="1104">
        <v>27000</v>
      </c>
      <c r="P204" s="1104">
        <v>4</v>
      </c>
      <c r="Q204" s="1105">
        <v>3</v>
      </c>
      <c r="R204" s="1106">
        <f>ROUNDUP(O204*P204*Q204/1000,0)</f>
        <v>324</v>
      </c>
      <c r="S204" s="1105"/>
      <c r="T204" s="1107"/>
    </row>
    <row r="205" spans="1:20" ht="18" customHeight="1">
      <c r="A205" s="402"/>
      <c r="B205" s="949"/>
      <c r="C205" s="949"/>
      <c r="D205" s="949"/>
      <c r="E205" s="949"/>
      <c r="F205" s="952"/>
      <c r="G205" s="977"/>
      <c r="H205" s="683"/>
      <c r="I205" s="1915"/>
      <c r="J205" s="590"/>
      <c r="K205" s="1037" t="s">
        <v>1264</v>
      </c>
      <c r="L205" s="996" t="s">
        <v>464</v>
      </c>
      <c r="M205" s="666">
        <f>SUM(M206:M208)</f>
        <v>10703</v>
      </c>
      <c r="N205" s="1124"/>
      <c r="O205" s="1104"/>
      <c r="P205" s="1104"/>
      <c r="Q205" s="1105"/>
      <c r="R205" s="1106"/>
      <c r="S205" s="1105"/>
      <c r="T205" s="1107"/>
    </row>
    <row r="206" spans="1:20" ht="18" customHeight="1">
      <c r="A206" s="402"/>
      <c r="B206" s="949"/>
      <c r="C206" s="949"/>
      <c r="D206" s="949"/>
      <c r="E206" s="949"/>
      <c r="F206" s="952"/>
      <c r="G206" s="977"/>
      <c r="H206" s="683"/>
      <c r="I206" s="1915"/>
      <c r="J206" s="590"/>
      <c r="K206" s="1037" t="s">
        <v>1414</v>
      </c>
      <c r="L206" s="996" t="s">
        <v>464</v>
      </c>
      <c r="M206" s="666">
        <f>T206</f>
        <v>702</v>
      </c>
      <c r="N206" s="1124"/>
      <c r="O206" s="1104">
        <v>14620</v>
      </c>
      <c r="P206" s="1144">
        <v>1.5</v>
      </c>
      <c r="Q206" s="1105">
        <v>4</v>
      </c>
      <c r="R206" s="1106">
        <v>4</v>
      </c>
      <c r="S206" s="1105">
        <v>2</v>
      </c>
      <c r="T206" s="1145">
        <f>ROUNDUP(O206*P206*Q206*R206*S206/1000,0)</f>
        <v>702</v>
      </c>
    </row>
    <row r="207" spans="1:20" ht="18" customHeight="1">
      <c r="A207" s="402"/>
      <c r="B207" s="949"/>
      <c r="C207" s="949"/>
      <c r="D207" s="949"/>
      <c r="E207" s="949"/>
      <c r="F207" s="952"/>
      <c r="G207" s="977"/>
      <c r="H207" s="683"/>
      <c r="I207" s="1915"/>
      <c r="J207" s="590"/>
      <c r="K207" s="1037" t="s">
        <v>1415</v>
      </c>
      <c r="L207" s="996" t="s">
        <v>464</v>
      </c>
      <c r="M207" s="666">
        <f t="shared" ref="M207:M209" si="29">T207</f>
        <v>8422</v>
      </c>
      <c r="N207" s="1124"/>
      <c r="O207" s="1104">
        <v>14620</v>
      </c>
      <c r="P207" s="1144">
        <v>1.5</v>
      </c>
      <c r="Q207" s="1105">
        <v>8</v>
      </c>
      <c r="R207" s="1106">
        <v>4</v>
      </c>
      <c r="S207" s="1105">
        <v>12</v>
      </c>
      <c r="T207" s="1106">
        <f>ROUNDUP(O207*P207*Q207*R207*S207/1000,0)</f>
        <v>8422</v>
      </c>
    </row>
    <row r="208" spans="1:20" ht="18" customHeight="1">
      <c r="A208" s="402"/>
      <c r="B208" s="949"/>
      <c r="C208" s="949"/>
      <c r="D208" s="949"/>
      <c r="E208" s="949"/>
      <c r="F208" s="952"/>
      <c r="G208" s="977"/>
      <c r="H208" s="683"/>
      <c r="I208" s="1915"/>
      <c r="J208" s="590"/>
      <c r="K208" s="1037" t="s">
        <v>1416</v>
      </c>
      <c r="L208" s="996" t="s">
        <v>464</v>
      </c>
      <c r="M208" s="666">
        <f t="shared" si="29"/>
        <v>1579</v>
      </c>
      <c r="N208" s="1124"/>
      <c r="O208" s="1104">
        <v>14620</v>
      </c>
      <c r="P208" s="1144">
        <v>0.5</v>
      </c>
      <c r="Q208" s="1105">
        <v>1</v>
      </c>
      <c r="R208" s="1106">
        <v>4</v>
      </c>
      <c r="S208" s="1105">
        <v>54</v>
      </c>
      <c r="T208" s="1106">
        <f>ROUNDUP(O208*P208*Q208*R208*S208/1000,0)</f>
        <v>1579</v>
      </c>
    </row>
    <row r="209" spans="1:20" ht="18" customHeight="1">
      <c r="A209" s="402"/>
      <c r="B209" s="949"/>
      <c r="C209" s="949"/>
      <c r="D209" s="949"/>
      <c r="E209" s="949"/>
      <c r="F209" s="952"/>
      <c r="G209" s="977"/>
      <c r="H209" s="683"/>
      <c r="I209" s="1915"/>
      <c r="J209" s="590"/>
      <c r="K209" s="1037" t="s">
        <v>1417</v>
      </c>
      <c r="L209" s="996" t="s">
        <v>464</v>
      </c>
      <c r="M209" s="666">
        <f t="shared" si="29"/>
        <v>1404</v>
      </c>
      <c r="N209" s="1124"/>
      <c r="O209" s="1104">
        <v>14620</v>
      </c>
      <c r="P209" s="1144">
        <v>1</v>
      </c>
      <c r="Q209" s="1105">
        <v>8</v>
      </c>
      <c r="R209" s="1106">
        <v>4</v>
      </c>
      <c r="S209" s="1105">
        <v>3</v>
      </c>
      <c r="T209" s="1145">
        <f>ROUNDUP(O209*P209*Q209*R209*S209/1000,0)</f>
        <v>1404</v>
      </c>
    </row>
    <row r="210" spans="1:20" ht="18" customHeight="1">
      <c r="A210" s="402"/>
      <c r="B210" s="949"/>
      <c r="C210" s="949"/>
      <c r="D210" s="949"/>
      <c r="E210" s="949"/>
      <c r="F210" s="952"/>
      <c r="G210" s="977"/>
      <c r="H210" s="683"/>
      <c r="I210" s="1915"/>
      <c r="J210" s="590"/>
      <c r="K210" s="1037" t="s">
        <v>1418</v>
      </c>
      <c r="L210" s="996" t="s">
        <v>464</v>
      </c>
      <c r="M210" s="666">
        <f>R210</f>
        <v>5156</v>
      </c>
      <c r="N210" s="1124"/>
      <c r="O210" s="1104">
        <v>2148150</v>
      </c>
      <c r="P210" s="1104">
        <v>4</v>
      </c>
      <c r="Q210" s="1105">
        <v>0.6</v>
      </c>
      <c r="R210" s="1106">
        <f>ROUNDUP(O210*P210*Q210/1000,0)</f>
        <v>5156</v>
      </c>
      <c r="S210" s="1105"/>
      <c r="T210" s="1107"/>
    </row>
    <row r="211" spans="1:20" ht="18" customHeight="1">
      <c r="A211" s="402"/>
      <c r="B211" s="949"/>
      <c r="C211" s="949"/>
      <c r="D211" s="949"/>
      <c r="E211" s="949"/>
      <c r="F211" s="952"/>
      <c r="G211" s="977"/>
      <c r="H211" s="1871"/>
      <c r="I211" s="1920"/>
      <c r="J211" s="595"/>
      <c r="K211" s="1037" t="s">
        <v>1419</v>
      </c>
      <c r="L211" s="996" t="s">
        <v>464</v>
      </c>
      <c r="M211" s="1078">
        <f>R211</f>
        <v>90</v>
      </c>
      <c r="N211" s="1124"/>
      <c r="O211" s="1104">
        <v>10000</v>
      </c>
      <c r="P211" s="1104">
        <v>3</v>
      </c>
      <c r="Q211" s="1105">
        <v>3</v>
      </c>
      <c r="R211" s="1106">
        <f>ROUNDUP(O211*P211*Q211/1000,0)</f>
        <v>90</v>
      </c>
      <c r="S211" s="1105"/>
      <c r="T211" s="1107"/>
    </row>
    <row r="212" spans="1:20" ht="18" customHeight="1">
      <c r="A212" s="402"/>
      <c r="B212" s="949"/>
      <c r="C212" s="949"/>
      <c r="D212" s="949"/>
      <c r="E212" s="969" t="s">
        <v>987</v>
      </c>
      <c r="F212" s="971"/>
      <c r="G212" s="973"/>
      <c r="H212" s="1879">
        <f>H213</f>
        <v>30000</v>
      </c>
      <c r="I212" s="1921">
        <v>0</v>
      </c>
      <c r="J212" s="667">
        <f>H212-I212</f>
        <v>30000</v>
      </c>
      <c r="K212" s="1033"/>
      <c r="L212" s="1034"/>
      <c r="M212" s="668"/>
      <c r="N212" s="1124"/>
      <c r="O212" s="1124"/>
      <c r="P212" s="1124"/>
      <c r="Q212" s="1120"/>
      <c r="R212" s="1106"/>
      <c r="S212" s="1142"/>
      <c r="T212" s="685"/>
    </row>
    <row r="213" spans="1:20" ht="18" customHeight="1">
      <c r="A213" s="402"/>
      <c r="B213" s="949"/>
      <c r="C213" s="949"/>
      <c r="D213" s="949"/>
      <c r="E213" s="949"/>
      <c r="F213" s="962" t="s">
        <v>988</v>
      </c>
      <c r="G213" s="972"/>
      <c r="H213" s="1871">
        <f>H214</f>
        <v>30000</v>
      </c>
      <c r="I213" s="1920">
        <v>0</v>
      </c>
      <c r="J213" s="595">
        <f t="shared" ref="J213:J214" si="30">H213-I213</f>
        <v>30000</v>
      </c>
      <c r="K213" s="1033"/>
      <c r="L213" s="1034"/>
      <c r="M213" s="666"/>
      <c r="N213" s="1124"/>
      <c r="O213" s="1124"/>
      <c r="P213" s="1124"/>
      <c r="Q213" s="1120"/>
      <c r="R213" s="1106"/>
      <c r="S213" s="1142"/>
      <c r="T213" s="685"/>
    </row>
    <row r="214" spans="1:20" ht="18" customHeight="1">
      <c r="A214" s="402"/>
      <c r="B214" s="949"/>
      <c r="C214" s="949"/>
      <c r="D214" s="949"/>
      <c r="E214" s="949"/>
      <c r="F214" s="952"/>
      <c r="G214" s="975" t="s">
        <v>993</v>
      </c>
      <c r="H214" s="683">
        <f>M214</f>
        <v>30000</v>
      </c>
      <c r="I214" s="1915">
        <v>0</v>
      </c>
      <c r="J214" s="590">
        <f t="shared" si="30"/>
        <v>30000</v>
      </c>
      <c r="K214" s="1035" t="s">
        <v>993</v>
      </c>
      <c r="L214" s="1032"/>
      <c r="M214" s="1827">
        <f>M216</f>
        <v>30000</v>
      </c>
      <c r="N214" s="1124"/>
      <c r="O214" s="1124"/>
      <c r="P214" s="1124"/>
      <c r="Q214" s="1120"/>
      <c r="R214" s="1106"/>
      <c r="S214" s="1142"/>
      <c r="T214" s="685"/>
    </row>
    <row r="215" spans="1:20" ht="18" customHeight="1">
      <c r="A215" s="402"/>
      <c r="B215" s="949"/>
      <c r="C215" s="949"/>
      <c r="D215" s="949"/>
      <c r="E215" s="949"/>
      <c r="F215" s="952"/>
      <c r="G215" s="977"/>
      <c r="H215" s="683"/>
      <c r="I215" s="1915"/>
      <c r="J215" s="590"/>
      <c r="K215" s="1070" t="s">
        <v>1420</v>
      </c>
      <c r="L215" s="1032"/>
      <c r="M215" s="666"/>
      <c r="N215" s="1124"/>
      <c r="O215" s="1124"/>
      <c r="P215" s="1124"/>
      <c r="Q215" s="1120"/>
      <c r="R215" s="1106"/>
      <c r="S215" s="1142"/>
      <c r="T215" s="685"/>
    </row>
    <row r="216" spans="1:20" ht="18" customHeight="1">
      <c r="A216" s="402"/>
      <c r="B216" s="949"/>
      <c r="C216" s="949"/>
      <c r="D216" s="949"/>
      <c r="E216" s="949"/>
      <c r="F216" s="952"/>
      <c r="G216" s="977"/>
      <c r="H216" s="1871"/>
      <c r="I216" s="1920"/>
      <c r="J216" s="595"/>
      <c r="K216" s="1182" t="s">
        <v>1421</v>
      </c>
      <c r="L216" s="1183" t="s">
        <v>464</v>
      </c>
      <c r="M216" s="1078">
        <f>R216</f>
        <v>30000</v>
      </c>
      <c r="N216" s="1124"/>
      <c r="O216" s="1124">
        <v>2500000</v>
      </c>
      <c r="P216" s="1124">
        <v>1</v>
      </c>
      <c r="Q216" s="1120">
        <v>12</v>
      </c>
      <c r="R216" s="1106">
        <f t="shared" ref="R216:R234" si="31">ROUNDUP(O216*P216*Q216/1000,0)</f>
        <v>30000</v>
      </c>
      <c r="S216" s="1142"/>
      <c r="T216" s="685"/>
    </row>
    <row r="217" spans="1:20" ht="18" customHeight="1">
      <c r="A217" s="340"/>
      <c r="B217" s="344"/>
      <c r="C217" s="317" t="s">
        <v>331</v>
      </c>
      <c r="D217" s="342"/>
      <c r="E217" s="342"/>
      <c r="F217" s="342"/>
      <c r="G217" s="343"/>
      <c r="H217" s="684">
        <f>H218</f>
        <v>105943</v>
      </c>
      <c r="I217" s="1922">
        <v>100803</v>
      </c>
      <c r="J217" s="607">
        <f>H217-I217</f>
        <v>5140</v>
      </c>
      <c r="K217" s="851"/>
      <c r="L217" s="777"/>
      <c r="M217" s="666"/>
      <c r="N217" s="1146"/>
      <c r="O217" s="1146"/>
      <c r="P217" s="1146"/>
      <c r="Q217" s="1146"/>
      <c r="R217" s="1106">
        <f t="shared" si="31"/>
        <v>0</v>
      </c>
      <c r="S217" s="1146"/>
      <c r="T217" s="1147"/>
    </row>
    <row r="218" spans="1:20" ht="18" customHeight="1">
      <c r="A218" s="340"/>
      <c r="B218" s="344"/>
      <c r="C218" s="344"/>
      <c r="D218" s="341" t="s">
        <v>1241</v>
      </c>
      <c r="E218" s="342"/>
      <c r="F218" s="342"/>
      <c r="G218" s="343"/>
      <c r="H218" s="1856">
        <f>H219</f>
        <v>105943</v>
      </c>
      <c r="I218" s="1923">
        <v>100803</v>
      </c>
      <c r="J218" s="601">
        <f t="shared" ref="J218:J221" si="32">H218-I218</f>
        <v>5140</v>
      </c>
      <c r="K218" s="494"/>
      <c r="L218" s="495"/>
      <c r="M218" s="668"/>
      <c r="N218" s="1184"/>
      <c r="O218" s="1146"/>
      <c r="P218" s="1146"/>
      <c r="Q218" s="1146"/>
      <c r="R218" s="1106">
        <f t="shared" si="31"/>
        <v>0</v>
      </c>
      <c r="S218" s="1146"/>
      <c r="T218" s="1147"/>
    </row>
    <row r="219" spans="1:20" ht="18" customHeight="1">
      <c r="A219" s="340"/>
      <c r="B219" s="344"/>
      <c r="C219" s="347"/>
      <c r="D219" s="348"/>
      <c r="E219" s="341" t="s">
        <v>987</v>
      </c>
      <c r="F219" s="342"/>
      <c r="G219" s="343"/>
      <c r="H219" s="1879">
        <f>H220+H257+H260</f>
        <v>105943</v>
      </c>
      <c r="I219" s="1924">
        <v>100803</v>
      </c>
      <c r="J219" s="667">
        <f t="shared" si="32"/>
        <v>5140</v>
      </c>
      <c r="K219" s="535"/>
      <c r="L219" s="853"/>
      <c r="M219" s="1078"/>
      <c r="N219" s="1146"/>
      <c r="O219" s="1146"/>
      <c r="P219" s="1146"/>
      <c r="Q219" s="1146"/>
      <c r="R219" s="1106">
        <f t="shared" si="31"/>
        <v>0</v>
      </c>
      <c r="S219" s="1146"/>
      <c r="T219" s="1147"/>
    </row>
    <row r="220" spans="1:20" ht="18" customHeight="1">
      <c r="A220" s="340"/>
      <c r="B220" s="344"/>
      <c r="C220" s="347"/>
      <c r="D220" s="347"/>
      <c r="E220" s="412"/>
      <c r="F220" s="2405" t="s">
        <v>402</v>
      </c>
      <c r="G220" s="2406"/>
      <c r="H220" s="1871">
        <f>H221+H228+H235+H242+H247+H254</f>
        <v>103543</v>
      </c>
      <c r="I220" s="1925">
        <v>98403</v>
      </c>
      <c r="J220" s="595">
        <f t="shared" si="32"/>
        <v>5140</v>
      </c>
      <c r="K220" s="1180"/>
      <c r="L220" s="1181"/>
      <c r="M220" s="1078"/>
      <c r="N220" s="1146"/>
      <c r="O220" s="1146"/>
      <c r="P220" s="1146"/>
      <c r="Q220" s="1146"/>
      <c r="R220" s="1106">
        <f t="shared" si="31"/>
        <v>0</v>
      </c>
      <c r="S220" s="1146"/>
      <c r="T220" s="1147"/>
    </row>
    <row r="221" spans="1:20" ht="18" customHeight="1">
      <c r="A221" s="978"/>
      <c r="B221" s="979"/>
      <c r="C221" s="979"/>
      <c r="D221" s="980"/>
      <c r="E221" s="981"/>
      <c r="F221" s="982"/>
      <c r="G221" s="983" t="s">
        <v>1228</v>
      </c>
      <c r="H221" s="683">
        <f>M221</f>
        <v>3081</v>
      </c>
      <c r="I221" s="1926">
        <v>3078</v>
      </c>
      <c r="J221" s="590">
        <f t="shared" si="32"/>
        <v>3</v>
      </c>
      <c r="K221" s="1178" t="s">
        <v>989</v>
      </c>
      <c r="L221" s="1179"/>
      <c r="M221" s="1824">
        <f>M222+M225+M226+M227</f>
        <v>3081</v>
      </c>
      <c r="N221" s="1146"/>
      <c r="O221" s="1146"/>
      <c r="P221" s="1146"/>
      <c r="Q221" s="1146"/>
      <c r="R221" s="1106">
        <f t="shared" si="31"/>
        <v>0</v>
      </c>
      <c r="S221" s="1146"/>
      <c r="T221" s="1147"/>
    </row>
    <row r="222" spans="1:20" ht="18" customHeight="1">
      <c r="A222" s="978"/>
      <c r="B222" s="979"/>
      <c r="C222" s="984"/>
      <c r="D222" s="979"/>
      <c r="E222" s="979"/>
      <c r="F222" s="979"/>
      <c r="G222" s="984"/>
      <c r="H222" s="683"/>
      <c r="I222" s="1926"/>
      <c r="J222" s="590"/>
      <c r="K222" s="1019" t="s">
        <v>1422</v>
      </c>
      <c r="L222" s="1038"/>
      <c r="M222" s="666">
        <f>SUM(M223:M224)</f>
        <v>2400</v>
      </c>
      <c r="N222" s="1146"/>
      <c r="O222" s="1146"/>
      <c r="P222" s="1146"/>
      <c r="Q222" s="1146"/>
      <c r="R222" s="1106">
        <f t="shared" si="31"/>
        <v>0</v>
      </c>
      <c r="S222" s="1146"/>
      <c r="T222" s="1147"/>
    </row>
    <row r="223" spans="1:20" ht="18" customHeight="1">
      <c r="A223" s="978"/>
      <c r="B223" s="979"/>
      <c r="C223" s="979"/>
      <c r="D223" s="979"/>
      <c r="E223" s="979"/>
      <c r="F223" s="979"/>
      <c r="G223" s="984"/>
      <c r="H223" s="683"/>
      <c r="I223" s="1926"/>
      <c r="J223" s="590"/>
      <c r="K223" s="1039" t="s">
        <v>1423</v>
      </c>
      <c r="L223" s="1040" t="s">
        <v>242</v>
      </c>
      <c r="M223" s="666">
        <f>R223</f>
        <v>1200</v>
      </c>
      <c r="N223" s="1146"/>
      <c r="O223" s="1148">
        <v>100000</v>
      </c>
      <c r="P223" s="1146">
        <v>1</v>
      </c>
      <c r="Q223" s="1149">
        <v>12</v>
      </c>
      <c r="R223" s="1106">
        <f t="shared" si="31"/>
        <v>1200</v>
      </c>
      <c r="S223" s="1146"/>
      <c r="T223" s="1147"/>
    </row>
    <row r="224" spans="1:20" ht="18" customHeight="1">
      <c r="A224" s="978"/>
      <c r="B224" s="979"/>
      <c r="C224" s="984"/>
      <c r="D224" s="979"/>
      <c r="E224" s="979"/>
      <c r="F224" s="979"/>
      <c r="G224" s="984"/>
      <c r="H224" s="683"/>
      <c r="I224" s="1926"/>
      <c r="J224" s="590"/>
      <c r="K224" s="1039" t="s">
        <v>1424</v>
      </c>
      <c r="L224" s="1040" t="s">
        <v>242</v>
      </c>
      <c r="M224" s="666">
        <f t="shared" ref="M224:M227" si="33">R224</f>
        <v>1200</v>
      </c>
      <c r="N224" s="1146"/>
      <c r="O224" s="1148">
        <v>100000</v>
      </c>
      <c r="P224" s="1146">
        <v>1</v>
      </c>
      <c r="Q224" s="1146">
        <v>12</v>
      </c>
      <c r="R224" s="1106">
        <f t="shared" si="31"/>
        <v>1200</v>
      </c>
      <c r="S224" s="1146"/>
      <c r="T224" s="1147"/>
    </row>
    <row r="225" spans="1:20" ht="18" customHeight="1">
      <c r="A225" s="978"/>
      <c r="B225" s="979"/>
      <c r="C225" s="984"/>
      <c r="D225" s="979"/>
      <c r="E225" s="979"/>
      <c r="F225" s="979"/>
      <c r="G225" s="984"/>
      <c r="H225" s="683"/>
      <c r="I225" s="1926"/>
      <c r="J225" s="590"/>
      <c r="K225" s="457" t="s">
        <v>1425</v>
      </c>
      <c r="L225" s="1041" t="s">
        <v>242</v>
      </c>
      <c r="M225" s="666">
        <f t="shared" si="33"/>
        <v>300</v>
      </c>
      <c r="N225" s="1146"/>
      <c r="O225" s="1148">
        <v>100000</v>
      </c>
      <c r="P225" s="1146">
        <v>3</v>
      </c>
      <c r="Q225" s="1146">
        <v>1</v>
      </c>
      <c r="R225" s="1106">
        <f t="shared" si="31"/>
        <v>300</v>
      </c>
      <c r="S225" s="1146"/>
      <c r="T225" s="1147"/>
    </row>
    <row r="226" spans="1:20" ht="18" customHeight="1">
      <c r="A226" s="978"/>
      <c r="B226" s="979"/>
      <c r="C226" s="984"/>
      <c r="D226" s="979"/>
      <c r="E226" s="979"/>
      <c r="F226" s="979"/>
      <c r="G226" s="984"/>
      <c r="H226" s="683"/>
      <c r="I226" s="1926"/>
      <c r="J226" s="590"/>
      <c r="K226" s="457" t="s">
        <v>1426</v>
      </c>
      <c r="L226" s="1038" t="s">
        <v>242</v>
      </c>
      <c r="M226" s="666">
        <f t="shared" si="33"/>
        <v>300</v>
      </c>
      <c r="N226" s="1146"/>
      <c r="O226" s="1148">
        <v>300000</v>
      </c>
      <c r="P226" s="1146">
        <v>1</v>
      </c>
      <c r="Q226" s="1146">
        <v>1</v>
      </c>
      <c r="R226" s="1106">
        <f t="shared" si="31"/>
        <v>300</v>
      </c>
      <c r="S226" s="1146"/>
      <c r="T226" s="1147"/>
    </row>
    <row r="227" spans="1:20" ht="18" customHeight="1">
      <c r="A227" s="978"/>
      <c r="B227" s="979"/>
      <c r="C227" s="984"/>
      <c r="D227" s="979"/>
      <c r="E227" s="979"/>
      <c r="F227" s="979"/>
      <c r="G227" s="984"/>
      <c r="H227" s="1871"/>
      <c r="I227" s="1925"/>
      <c r="J227" s="595"/>
      <c r="K227" s="1176" t="s">
        <v>1427</v>
      </c>
      <c r="L227" s="1177" t="s">
        <v>464</v>
      </c>
      <c r="M227" s="1078">
        <f t="shared" si="33"/>
        <v>81</v>
      </c>
      <c r="N227" s="1146"/>
      <c r="O227" s="1148">
        <v>27000</v>
      </c>
      <c r="P227" s="1146">
        <v>3</v>
      </c>
      <c r="Q227" s="1146">
        <v>1</v>
      </c>
      <c r="R227" s="1106">
        <f t="shared" si="31"/>
        <v>81</v>
      </c>
      <c r="S227" s="1146"/>
      <c r="T227" s="1147"/>
    </row>
    <row r="228" spans="1:20" ht="18" customHeight="1">
      <c r="A228" s="978"/>
      <c r="B228" s="979"/>
      <c r="C228" s="984"/>
      <c r="D228" s="979"/>
      <c r="E228" s="979"/>
      <c r="F228" s="979"/>
      <c r="G228" s="983" t="s">
        <v>990</v>
      </c>
      <c r="H228" s="683">
        <f>M228</f>
        <v>69012</v>
      </c>
      <c r="I228" s="1926">
        <v>66271</v>
      </c>
      <c r="J228" s="590">
        <f>H228-I228</f>
        <v>2741</v>
      </c>
      <c r="K228" s="1049" t="s">
        <v>990</v>
      </c>
      <c r="L228" s="1175"/>
      <c r="M228" s="1824">
        <f>M229+M230+M231+M232+M234</f>
        <v>69012</v>
      </c>
      <c r="N228" s="1146"/>
      <c r="O228" s="1148"/>
      <c r="P228" s="1146"/>
      <c r="Q228" s="1146"/>
      <c r="R228" s="1106">
        <f t="shared" si="31"/>
        <v>0</v>
      </c>
      <c r="S228" s="1146"/>
      <c r="T228" s="1147"/>
    </row>
    <row r="229" spans="1:20" ht="18" customHeight="1">
      <c r="A229" s="978"/>
      <c r="B229" s="979"/>
      <c r="C229" s="984"/>
      <c r="D229" s="980"/>
      <c r="E229" s="980"/>
      <c r="F229" s="979"/>
      <c r="G229" s="984"/>
      <c r="H229" s="683"/>
      <c r="I229" s="1926"/>
      <c r="J229" s="590"/>
      <c r="K229" s="457" t="s">
        <v>1428</v>
      </c>
      <c r="L229" s="1043" t="s">
        <v>242</v>
      </c>
      <c r="M229" s="666">
        <f>R229</f>
        <v>6720</v>
      </c>
      <c r="N229" s="1146"/>
      <c r="O229" s="1148">
        <v>560000</v>
      </c>
      <c r="P229" s="1146">
        <v>1</v>
      </c>
      <c r="Q229" s="1146">
        <v>12</v>
      </c>
      <c r="R229" s="1106">
        <f t="shared" si="31"/>
        <v>6720</v>
      </c>
      <c r="S229" s="1146"/>
      <c r="T229" s="1147"/>
    </row>
    <row r="230" spans="1:20" ht="18" customHeight="1">
      <c r="A230" s="978"/>
      <c r="B230" s="979"/>
      <c r="C230" s="984"/>
      <c r="D230" s="980"/>
      <c r="E230" s="980"/>
      <c r="F230" s="979"/>
      <c r="G230" s="984"/>
      <c r="H230" s="683"/>
      <c r="I230" s="1926"/>
      <c r="J230" s="590"/>
      <c r="K230" s="457" t="s">
        <v>1429</v>
      </c>
      <c r="L230" s="1044" t="s">
        <v>242</v>
      </c>
      <c r="M230" s="666">
        <f>R230</f>
        <v>1080</v>
      </c>
      <c r="N230" s="1146"/>
      <c r="O230" s="1148">
        <v>90000</v>
      </c>
      <c r="P230" s="1146">
        <v>1</v>
      </c>
      <c r="Q230" s="1146">
        <v>12</v>
      </c>
      <c r="R230" s="1106">
        <f t="shared" si="31"/>
        <v>1080</v>
      </c>
      <c r="S230" s="1146"/>
      <c r="T230" s="1147"/>
    </row>
    <row r="231" spans="1:20" ht="18" customHeight="1">
      <c r="A231" s="978"/>
      <c r="B231" s="979"/>
      <c r="C231" s="984"/>
      <c r="D231" s="979"/>
      <c r="E231" s="979"/>
      <c r="F231" s="979"/>
      <c r="G231" s="984"/>
      <c r="H231" s="683"/>
      <c r="I231" s="1926"/>
      <c r="J231" s="590"/>
      <c r="K231" s="457" t="s">
        <v>1430</v>
      </c>
      <c r="L231" s="1044" t="s">
        <v>1431</v>
      </c>
      <c r="M231" s="666">
        <f>R231</f>
        <v>132</v>
      </c>
      <c r="N231" s="1146"/>
      <c r="O231" s="1148">
        <v>11000</v>
      </c>
      <c r="P231" s="1146">
        <v>1</v>
      </c>
      <c r="Q231" s="1146">
        <v>12</v>
      </c>
      <c r="R231" s="1106">
        <f t="shared" si="31"/>
        <v>132</v>
      </c>
      <c r="S231" s="1146"/>
      <c r="T231" s="1147"/>
    </row>
    <row r="232" spans="1:20" ht="18" customHeight="1">
      <c r="A232" s="978"/>
      <c r="B232" s="979"/>
      <c r="C232" s="984"/>
      <c r="D232" s="979"/>
      <c r="E232" s="979"/>
      <c r="F232" s="979"/>
      <c r="G232" s="984"/>
      <c r="H232" s="683"/>
      <c r="I232" s="1926"/>
      <c r="J232" s="590"/>
      <c r="K232" s="457" t="s">
        <v>1432</v>
      </c>
      <c r="L232" s="1045"/>
      <c r="M232" s="666">
        <f>M233</f>
        <v>51480</v>
      </c>
      <c r="N232" s="1146"/>
      <c r="O232" s="1148"/>
      <c r="P232" s="1146"/>
      <c r="Q232" s="1146"/>
      <c r="R232" s="1106">
        <f t="shared" si="31"/>
        <v>0</v>
      </c>
      <c r="S232" s="1146"/>
      <c r="T232" s="1147"/>
    </row>
    <row r="233" spans="1:20" ht="18" customHeight="1">
      <c r="A233" s="985"/>
      <c r="B233" s="979"/>
      <c r="C233" s="979"/>
      <c r="D233" s="979"/>
      <c r="E233" s="979"/>
      <c r="F233" s="979"/>
      <c r="G233" s="984"/>
      <c r="H233" s="683"/>
      <c r="I233" s="1926"/>
      <c r="J233" s="590"/>
      <c r="K233" s="457" t="s">
        <v>1433</v>
      </c>
      <c r="L233" s="1046" t="s">
        <v>242</v>
      </c>
      <c r="M233" s="666">
        <f>R233</f>
        <v>51480</v>
      </c>
      <c r="N233" s="1146"/>
      <c r="O233" s="1148">
        <v>1800000000</v>
      </c>
      <c r="P233" s="1146">
        <v>2.86E-2</v>
      </c>
      <c r="Q233" s="1146">
        <v>1</v>
      </c>
      <c r="R233" s="1106">
        <f t="shared" si="31"/>
        <v>51480</v>
      </c>
      <c r="S233" s="1146"/>
      <c r="T233" s="1147"/>
    </row>
    <row r="234" spans="1:20" ht="18" customHeight="1">
      <c r="A234" s="978"/>
      <c r="B234" s="979"/>
      <c r="C234" s="984"/>
      <c r="D234" s="979"/>
      <c r="E234" s="979"/>
      <c r="F234" s="979"/>
      <c r="G234" s="986"/>
      <c r="H234" s="1871"/>
      <c r="I234" s="1925"/>
      <c r="J234" s="595"/>
      <c r="K234" s="1047" t="s">
        <v>1434</v>
      </c>
      <c r="L234" s="1048" t="s">
        <v>242</v>
      </c>
      <c r="M234" s="666">
        <f>R234</f>
        <v>9600</v>
      </c>
      <c r="N234" s="1146"/>
      <c r="O234" s="1148">
        <v>800000</v>
      </c>
      <c r="P234" s="1146">
        <v>1</v>
      </c>
      <c r="Q234" s="1146">
        <v>12</v>
      </c>
      <c r="R234" s="1106">
        <f t="shared" si="31"/>
        <v>9600</v>
      </c>
      <c r="S234" s="1146"/>
      <c r="T234" s="1147"/>
    </row>
    <row r="235" spans="1:20" ht="18" customHeight="1">
      <c r="A235" s="978"/>
      <c r="B235" s="979"/>
      <c r="C235" s="984"/>
      <c r="D235" s="979"/>
      <c r="E235" s="979"/>
      <c r="F235" s="979"/>
      <c r="G235" s="984" t="s">
        <v>991</v>
      </c>
      <c r="H235" s="683">
        <f>M235</f>
        <v>12852</v>
      </c>
      <c r="I235" s="1926">
        <v>11616</v>
      </c>
      <c r="J235" s="590">
        <f>H235-I235</f>
        <v>1236</v>
      </c>
      <c r="K235" s="1049" t="s">
        <v>991</v>
      </c>
      <c r="L235" s="1050"/>
      <c r="M235" s="1827">
        <f>M236+M237+M238+M239+M240+M241</f>
        <v>12852</v>
      </c>
      <c r="N235" s="1146"/>
      <c r="O235" s="1148"/>
      <c r="P235" s="1146"/>
      <c r="Q235" s="1146"/>
      <c r="R235" s="1106"/>
      <c r="S235" s="1146"/>
      <c r="T235" s="1147"/>
    </row>
    <row r="236" spans="1:20" ht="18" customHeight="1">
      <c r="A236" s="978"/>
      <c r="B236" s="979"/>
      <c r="C236" s="984"/>
      <c r="D236" s="979"/>
      <c r="E236" s="979"/>
      <c r="F236" s="979"/>
      <c r="G236" s="984"/>
      <c r="H236" s="683"/>
      <c r="I236" s="1926"/>
      <c r="J236" s="590"/>
      <c r="K236" s="457" t="s">
        <v>1435</v>
      </c>
      <c r="L236" s="1041" t="s">
        <v>242</v>
      </c>
      <c r="M236" s="666">
        <f>R236</f>
        <v>264</v>
      </c>
      <c r="N236" s="1146"/>
      <c r="O236" s="1148">
        <v>22000</v>
      </c>
      <c r="P236" s="1146">
        <v>12</v>
      </c>
      <c r="Q236" s="1146">
        <v>1</v>
      </c>
      <c r="R236" s="1106">
        <f t="shared" ref="R236:R241" si="34">ROUNDUP(O236*P236*Q236/1000,0)</f>
        <v>264</v>
      </c>
      <c r="S236" s="1146"/>
      <c r="T236" s="1147"/>
    </row>
    <row r="237" spans="1:20" ht="18" customHeight="1">
      <c r="A237" s="978"/>
      <c r="B237" s="979"/>
      <c r="C237" s="984"/>
      <c r="D237" s="979"/>
      <c r="E237" s="979"/>
      <c r="F237" s="979"/>
      <c r="G237" s="984"/>
      <c r="H237" s="683"/>
      <c r="I237" s="1926"/>
      <c r="J237" s="590"/>
      <c r="K237" s="457" t="s">
        <v>1436</v>
      </c>
      <c r="L237" s="1040" t="s">
        <v>242</v>
      </c>
      <c r="M237" s="666">
        <f t="shared" ref="M237:M241" si="35">R237</f>
        <v>480</v>
      </c>
      <c r="N237" s="1146"/>
      <c r="O237" s="1148">
        <v>40000</v>
      </c>
      <c r="P237" s="1146">
        <v>12</v>
      </c>
      <c r="Q237" s="1146">
        <v>1</v>
      </c>
      <c r="R237" s="1106">
        <f t="shared" si="34"/>
        <v>480</v>
      </c>
      <c r="S237" s="1146"/>
      <c r="T237" s="1147"/>
    </row>
    <row r="238" spans="1:20" ht="18" customHeight="1">
      <c r="A238" s="978"/>
      <c r="B238" s="979"/>
      <c r="C238" s="984"/>
      <c r="D238" s="980"/>
      <c r="E238" s="980"/>
      <c r="F238" s="979"/>
      <c r="G238" s="984"/>
      <c r="H238" s="683"/>
      <c r="I238" s="1926"/>
      <c r="J238" s="590"/>
      <c r="K238" s="457" t="s">
        <v>1437</v>
      </c>
      <c r="L238" s="1041" t="s">
        <v>242</v>
      </c>
      <c r="M238" s="666">
        <f t="shared" si="35"/>
        <v>660</v>
      </c>
      <c r="N238" s="1146"/>
      <c r="O238" s="1148">
        <v>55000</v>
      </c>
      <c r="P238" s="1146">
        <v>12</v>
      </c>
      <c r="Q238" s="1146">
        <v>1</v>
      </c>
      <c r="R238" s="1106">
        <f t="shared" si="34"/>
        <v>660</v>
      </c>
      <c r="S238" s="1146"/>
      <c r="T238" s="1147"/>
    </row>
    <row r="239" spans="1:20" ht="18" customHeight="1">
      <c r="A239" s="978"/>
      <c r="B239" s="979"/>
      <c r="C239" s="984"/>
      <c r="D239" s="980"/>
      <c r="E239" s="980"/>
      <c r="F239" s="979"/>
      <c r="G239" s="984"/>
      <c r="H239" s="683"/>
      <c r="I239" s="1926"/>
      <c r="J239" s="590"/>
      <c r="K239" s="457" t="s">
        <v>1438</v>
      </c>
      <c r="L239" s="1041" t="s">
        <v>242</v>
      </c>
      <c r="M239" s="666">
        <f t="shared" si="35"/>
        <v>720</v>
      </c>
      <c r="N239" s="1146"/>
      <c r="O239" s="1148">
        <v>60000</v>
      </c>
      <c r="P239" s="1146">
        <v>12</v>
      </c>
      <c r="Q239" s="1146">
        <v>1</v>
      </c>
      <c r="R239" s="1106">
        <f t="shared" si="34"/>
        <v>720</v>
      </c>
      <c r="S239" s="1146"/>
      <c r="T239" s="1147"/>
    </row>
    <row r="240" spans="1:20" ht="18" customHeight="1">
      <c r="A240" s="978"/>
      <c r="B240" s="979"/>
      <c r="C240" s="984"/>
      <c r="D240" s="979"/>
      <c r="E240" s="979"/>
      <c r="F240" s="979"/>
      <c r="G240" s="984"/>
      <c r="H240" s="683"/>
      <c r="I240" s="1926"/>
      <c r="J240" s="590"/>
      <c r="K240" s="457" t="s">
        <v>1439</v>
      </c>
      <c r="L240" s="1040" t="s">
        <v>242</v>
      </c>
      <c r="M240" s="666">
        <f t="shared" si="35"/>
        <v>10200</v>
      </c>
      <c r="N240" s="1146"/>
      <c r="O240" s="1148">
        <v>850000</v>
      </c>
      <c r="P240" s="1146">
        <v>12</v>
      </c>
      <c r="Q240" s="1146">
        <v>1</v>
      </c>
      <c r="R240" s="1106">
        <f t="shared" si="34"/>
        <v>10200</v>
      </c>
      <c r="S240" s="1146"/>
      <c r="T240" s="1147"/>
    </row>
    <row r="241" spans="1:20" ht="18" customHeight="1">
      <c r="A241" s="978"/>
      <c r="B241" s="979"/>
      <c r="C241" s="984"/>
      <c r="D241" s="979"/>
      <c r="E241" s="979"/>
      <c r="F241" s="979"/>
      <c r="G241" s="984"/>
      <c r="H241" s="1871"/>
      <c r="I241" s="1925"/>
      <c r="J241" s="595"/>
      <c r="K241" s="1047" t="s">
        <v>1440</v>
      </c>
      <c r="L241" s="1174" t="s">
        <v>242</v>
      </c>
      <c r="M241" s="666">
        <f t="shared" si="35"/>
        <v>528</v>
      </c>
      <c r="N241" s="1146"/>
      <c r="O241" s="1148">
        <v>22000</v>
      </c>
      <c r="P241" s="1146">
        <v>12</v>
      </c>
      <c r="Q241" s="1146">
        <v>2</v>
      </c>
      <c r="R241" s="1106">
        <f t="shared" si="34"/>
        <v>528</v>
      </c>
      <c r="S241" s="1146"/>
      <c r="T241" s="1147"/>
    </row>
    <row r="242" spans="1:20" ht="18" customHeight="1">
      <c r="A242" s="978"/>
      <c r="B242" s="979"/>
      <c r="C242" s="984"/>
      <c r="D242" s="979"/>
      <c r="E242" s="979"/>
      <c r="F242" s="987"/>
      <c r="G242" s="983" t="s">
        <v>992</v>
      </c>
      <c r="H242" s="683">
        <f>M242</f>
        <v>2760</v>
      </c>
      <c r="I242" s="1926">
        <v>2460</v>
      </c>
      <c r="J242" s="590">
        <f>H242-I242</f>
        <v>300</v>
      </c>
      <c r="K242" s="1049" t="s">
        <v>992</v>
      </c>
      <c r="L242" s="1173"/>
      <c r="M242" s="1827">
        <f>M243+M246</f>
        <v>2760</v>
      </c>
      <c r="N242" s="1146"/>
      <c r="O242" s="1148"/>
      <c r="P242" s="1146"/>
      <c r="Q242" s="1146"/>
      <c r="R242" s="1106"/>
      <c r="S242" s="1146"/>
      <c r="T242" s="1147"/>
    </row>
    <row r="243" spans="1:20" ht="18" customHeight="1">
      <c r="A243" s="978"/>
      <c r="B243" s="979"/>
      <c r="C243" s="984"/>
      <c r="D243" s="980"/>
      <c r="E243" s="980"/>
      <c r="F243" s="979"/>
      <c r="G243" s="984"/>
      <c r="H243" s="683"/>
      <c r="I243" s="1926"/>
      <c r="J243" s="590"/>
      <c r="K243" s="457" t="s">
        <v>1073</v>
      </c>
      <c r="L243" s="1044"/>
      <c r="M243" s="666">
        <f>SUM(M244:M245)</f>
        <v>1680</v>
      </c>
      <c r="N243" s="1146"/>
      <c r="O243" s="1148"/>
      <c r="P243" s="1146"/>
      <c r="Q243" s="1146"/>
      <c r="R243" s="1106"/>
      <c r="S243" s="1146"/>
      <c r="T243" s="1147"/>
    </row>
    <row r="244" spans="1:20" ht="18" customHeight="1">
      <c r="A244" s="978"/>
      <c r="B244" s="979"/>
      <c r="C244" s="984"/>
      <c r="D244" s="979"/>
      <c r="E244" s="979"/>
      <c r="F244" s="979"/>
      <c r="G244" s="984"/>
      <c r="H244" s="683"/>
      <c r="I244" s="1926"/>
      <c r="J244" s="590"/>
      <c r="K244" s="457" t="s">
        <v>1441</v>
      </c>
      <c r="L244" s="1044" t="s">
        <v>242</v>
      </c>
      <c r="M244" s="666">
        <f>R244</f>
        <v>1080</v>
      </c>
      <c r="N244" s="1146"/>
      <c r="O244" s="1148">
        <v>180000</v>
      </c>
      <c r="P244" s="1146">
        <v>3</v>
      </c>
      <c r="Q244" s="1146">
        <v>2</v>
      </c>
      <c r="R244" s="1106">
        <f>ROUNDUP(O244*P244*Q244/1000,0)</f>
        <v>1080</v>
      </c>
      <c r="S244" s="1146"/>
      <c r="T244" s="1147"/>
    </row>
    <row r="245" spans="1:20" ht="18" customHeight="1">
      <c r="A245" s="978"/>
      <c r="B245" s="979"/>
      <c r="C245" s="984"/>
      <c r="D245" s="979"/>
      <c r="E245" s="979"/>
      <c r="F245" s="979"/>
      <c r="G245" s="984"/>
      <c r="H245" s="683"/>
      <c r="I245" s="1926"/>
      <c r="J245" s="590"/>
      <c r="K245" s="457" t="s">
        <v>1442</v>
      </c>
      <c r="L245" s="1044" t="s">
        <v>242</v>
      </c>
      <c r="M245" s="666">
        <f t="shared" ref="M245:M246" si="36">R245</f>
        <v>600</v>
      </c>
      <c r="N245" s="1146"/>
      <c r="O245" s="1148">
        <v>200000</v>
      </c>
      <c r="P245" s="1146">
        <v>3</v>
      </c>
      <c r="Q245" s="1146">
        <v>1</v>
      </c>
      <c r="R245" s="1106">
        <f>ROUNDUP(O245*P245*Q245/1000,0)</f>
        <v>600</v>
      </c>
      <c r="S245" s="1146"/>
      <c r="T245" s="1147"/>
    </row>
    <row r="246" spans="1:20" ht="18" customHeight="1">
      <c r="A246" s="978"/>
      <c r="B246" s="979"/>
      <c r="C246" s="984"/>
      <c r="D246" s="980"/>
      <c r="E246" s="980"/>
      <c r="F246" s="979"/>
      <c r="G246" s="984"/>
      <c r="H246" s="1871"/>
      <c r="I246" s="1925"/>
      <c r="J246" s="595"/>
      <c r="K246" s="1047" t="s">
        <v>1443</v>
      </c>
      <c r="L246" s="1048" t="s">
        <v>242</v>
      </c>
      <c r="M246" s="1078">
        <f t="shared" si="36"/>
        <v>1080</v>
      </c>
      <c r="N246" s="1146"/>
      <c r="O246" s="1148">
        <v>9000</v>
      </c>
      <c r="P246" s="1146">
        <v>10</v>
      </c>
      <c r="Q246" s="1146">
        <v>12</v>
      </c>
      <c r="R246" s="1106">
        <f>ROUNDUP(O246*P246*Q246/1000,0)</f>
        <v>1080</v>
      </c>
      <c r="S246" s="1146"/>
      <c r="T246" s="1147"/>
    </row>
    <row r="247" spans="1:20" ht="18" customHeight="1">
      <c r="A247" s="978"/>
      <c r="B247" s="979"/>
      <c r="C247" s="984"/>
      <c r="D247" s="979"/>
      <c r="E247" s="979"/>
      <c r="F247" s="979"/>
      <c r="G247" s="988" t="s">
        <v>2260</v>
      </c>
      <c r="H247" s="683">
        <f>M247</f>
        <v>10600</v>
      </c>
      <c r="I247" s="1926">
        <v>9740</v>
      </c>
      <c r="J247" s="590">
        <f>H247-I247</f>
        <v>860</v>
      </c>
      <c r="K247" s="1049" t="s">
        <v>411</v>
      </c>
      <c r="L247" s="1009"/>
      <c r="M247" s="1824">
        <f>M248+M249+M250+M251+M252+M253</f>
        <v>10600</v>
      </c>
      <c r="N247" s="1146"/>
      <c r="O247" s="1148"/>
      <c r="P247" s="1146"/>
      <c r="Q247" s="1146"/>
      <c r="R247" s="1106"/>
      <c r="S247" s="1146"/>
      <c r="T247" s="1147"/>
    </row>
    <row r="248" spans="1:20" ht="18" customHeight="1">
      <c r="A248" s="978"/>
      <c r="B248" s="979"/>
      <c r="C248" s="984"/>
      <c r="D248" s="979"/>
      <c r="E248" s="979"/>
      <c r="F248" s="979"/>
      <c r="G248" s="984"/>
      <c r="H248" s="683"/>
      <c r="I248" s="1926"/>
      <c r="J248" s="590"/>
      <c r="K248" s="457" t="s">
        <v>1444</v>
      </c>
      <c r="L248" s="1044" t="s">
        <v>242</v>
      </c>
      <c r="M248" s="666">
        <f>R248</f>
        <v>2400</v>
      </c>
      <c r="N248" s="1146"/>
      <c r="O248" s="1148">
        <v>200000</v>
      </c>
      <c r="P248" s="1146">
        <v>1</v>
      </c>
      <c r="Q248" s="1146">
        <v>12</v>
      </c>
      <c r="R248" s="1106">
        <f t="shared" ref="R248:R253" si="37">ROUNDUP(O248*P248*Q248/1000,0)</f>
        <v>2400</v>
      </c>
      <c r="S248" s="1146"/>
      <c r="T248" s="1147"/>
    </row>
    <row r="249" spans="1:20" ht="18" customHeight="1">
      <c r="A249" s="978"/>
      <c r="B249" s="979"/>
      <c r="C249" s="984"/>
      <c r="D249" s="979"/>
      <c r="E249" s="979"/>
      <c r="F249" s="979"/>
      <c r="G249" s="984"/>
      <c r="H249" s="683"/>
      <c r="I249" s="1926"/>
      <c r="J249" s="590"/>
      <c r="K249" s="1019" t="s">
        <v>1445</v>
      </c>
      <c r="L249" s="1044" t="s">
        <v>242</v>
      </c>
      <c r="M249" s="666">
        <f t="shared" ref="M249:M253" si="38">R249</f>
        <v>800</v>
      </c>
      <c r="N249" s="1146"/>
      <c r="O249" s="1148">
        <v>800000</v>
      </c>
      <c r="P249" s="1146">
        <v>1</v>
      </c>
      <c r="Q249" s="1146">
        <v>1</v>
      </c>
      <c r="R249" s="1106">
        <f t="shared" si="37"/>
        <v>800</v>
      </c>
      <c r="S249" s="1146"/>
      <c r="T249" s="1147"/>
    </row>
    <row r="250" spans="1:20" ht="18" customHeight="1">
      <c r="A250" s="978"/>
      <c r="B250" s="979"/>
      <c r="C250" s="984"/>
      <c r="D250" s="979"/>
      <c r="E250" s="979"/>
      <c r="F250" s="979"/>
      <c r="G250" s="984"/>
      <c r="H250" s="683"/>
      <c r="I250" s="1926"/>
      <c r="J250" s="590"/>
      <c r="K250" s="1019" t="s">
        <v>1446</v>
      </c>
      <c r="L250" s="1044" t="s">
        <v>242</v>
      </c>
      <c r="M250" s="666">
        <f t="shared" si="38"/>
        <v>1200</v>
      </c>
      <c r="N250" s="1146"/>
      <c r="O250" s="1148">
        <v>100000</v>
      </c>
      <c r="P250" s="1146">
        <v>1</v>
      </c>
      <c r="Q250" s="1146">
        <v>12</v>
      </c>
      <c r="R250" s="1106">
        <f t="shared" si="37"/>
        <v>1200</v>
      </c>
      <c r="S250" s="1146"/>
      <c r="T250" s="1147"/>
    </row>
    <row r="251" spans="1:20" ht="18" customHeight="1">
      <c r="A251" s="978"/>
      <c r="B251" s="979"/>
      <c r="C251" s="984"/>
      <c r="D251" s="979"/>
      <c r="E251" s="979"/>
      <c r="F251" s="979"/>
      <c r="G251" s="984"/>
      <c r="H251" s="683"/>
      <c r="I251" s="1926"/>
      <c r="J251" s="590"/>
      <c r="K251" s="1019" t="s">
        <v>1447</v>
      </c>
      <c r="L251" s="1046" t="s">
        <v>242</v>
      </c>
      <c r="M251" s="666">
        <f t="shared" si="38"/>
        <v>5400</v>
      </c>
      <c r="N251" s="1146"/>
      <c r="O251" s="1148">
        <v>450000</v>
      </c>
      <c r="P251" s="1146">
        <v>1</v>
      </c>
      <c r="Q251" s="1146">
        <v>12</v>
      </c>
      <c r="R251" s="1106">
        <f t="shared" si="37"/>
        <v>5400</v>
      </c>
      <c r="S251" s="1146"/>
      <c r="T251" s="1147"/>
    </row>
    <row r="252" spans="1:20" ht="18" customHeight="1">
      <c r="A252" s="978"/>
      <c r="B252" s="979"/>
      <c r="C252" s="984"/>
      <c r="D252" s="979"/>
      <c r="E252" s="979"/>
      <c r="F252" s="979"/>
      <c r="G252" s="984"/>
      <c r="H252" s="683"/>
      <c r="I252" s="1926"/>
      <c r="J252" s="590"/>
      <c r="K252" s="1019" t="s">
        <v>1448</v>
      </c>
      <c r="L252" s="1044" t="s">
        <v>464</v>
      </c>
      <c r="M252" s="666">
        <f t="shared" si="38"/>
        <v>480</v>
      </c>
      <c r="N252" s="1146"/>
      <c r="O252" s="1148">
        <v>40000</v>
      </c>
      <c r="P252" s="1146">
        <v>1</v>
      </c>
      <c r="Q252" s="1146">
        <v>12</v>
      </c>
      <c r="R252" s="1106">
        <f t="shared" si="37"/>
        <v>480</v>
      </c>
      <c r="S252" s="1146"/>
      <c r="T252" s="1147"/>
    </row>
    <row r="253" spans="1:20" ht="18" customHeight="1">
      <c r="A253" s="978"/>
      <c r="B253" s="979"/>
      <c r="C253" s="984"/>
      <c r="D253" s="980"/>
      <c r="E253" s="980"/>
      <c r="F253" s="979"/>
      <c r="G253" s="984"/>
      <c r="H253" s="1871"/>
      <c r="I253" s="1925"/>
      <c r="J253" s="595"/>
      <c r="K253" s="1085" t="s">
        <v>1449</v>
      </c>
      <c r="L253" s="1048" t="s">
        <v>464</v>
      </c>
      <c r="M253" s="1078">
        <f t="shared" si="38"/>
        <v>320</v>
      </c>
      <c r="N253" s="1146"/>
      <c r="O253" s="1148">
        <v>320000</v>
      </c>
      <c r="P253" s="1146">
        <v>1</v>
      </c>
      <c r="Q253" s="1146">
        <v>1</v>
      </c>
      <c r="R253" s="1106">
        <f t="shared" si="37"/>
        <v>320</v>
      </c>
      <c r="S253" s="1146"/>
      <c r="T253" s="1147"/>
    </row>
    <row r="254" spans="1:20" ht="18" customHeight="1">
      <c r="A254" s="978"/>
      <c r="B254" s="979"/>
      <c r="C254" s="984"/>
      <c r="D254" s="979"/>
      <c r="E254" s="979"/>
      <c r="F254" s="979"/>
      <c r="G254" s="983" t="s">
        <v>993</v>
      </c>
      <c r="H254" s="683">
        <f>M254</f>
        <v>5238</v>
      </c>
      <c r="I254" s="1926">
        <v>5238</v>
      </c>
      <c r="J254" s="590">
        <f>H254-I254</f>
        <v>0</v>
      </c>
      <c r="K254" s="1049" t="s">
        <v>1450</v>
      </c>
      <c r="L254" s="1043"/>
      <c r="M254" s="1824">
        <f>M255+M256</f>
        <v>5238</v>
      </c>
      <c r="N254" s="1146"/>
      <c r="O254" s="1148"/>
      <c r="P254" s="1146"/>
      <c r="Q254" s="1146"/>
      <c r="R254" s="1106"/>
      <c r="S254" s="1146"/>
      <c r="T254" s="1147"/>
    </row>
    <row r="255" spans="1:20" ht="18" customHeight="1">
      <c r="A255" s="978"/>
      <c r="B255" s="979"/>
      <c r="C255" s="984"/>
      <c r="D255" s="980"/>
      <c r="E255" s="980"/>
      <c r="F255" s="979"/>
      <c r="G255" s="984"/>
      <c r="H255" s="683"/>
      <c r="I255" s="1926"/>
      <c r="J255" s="590"/>
      <c r="K255" s="457" t="s">
        <v>1451</v>
      </c>
      <c r="L255" s="1051" t="s">
        <v>242</v>
      </c>
      <c r="M255" s="666">
        <f>S255</f>
        <v>5040</v>
      </c>
      <c r="N255" s="1146"/>
      <c r="O255" s="1148">
        <v>21000</v>
      </c>
      <c r="P255" s="1146">
        <v>1</v>
      </c>
      <c r="Q255" s="1146">
        <v>1500</v>
      </c>
      <c r="R255" s="1150">
        <v>0.16</v>
      </c>
      <c r="S255" s="1106">
        <f>ROUNDUP(O255*P255*Q255*R255/1000,0)</f>
        <v>5040</v>
      </c>
      <c r="T255" s="1147"/>
    </row>
    <row r="256" spans="1:20" ht="18" customHeight="1">
      <c r="A256" s="978"/>
      <c r="B256" s="979"/>
      <c r="C256" s="984"/>
      <c r="D256" s="980"/>
      <c r="E256" s="980"/>
      <c r="F256" s="979"/>
      <c r="G256" s="984"/>
      <c r="H256" s="1871"/>
      <c r="I256" s="1925"/>
      <c r="J256" s="595"/>
      <c r="K256" s="1047" t="s">
        <v>1452</v>
      </c>
      <c r="L256" s="1084" t="s">
        <v>242</v>
      </c>
      <c r="M256" s="1078">
        <f>R256</f>
        <v>198</v>
      </c>
      <c r="N256" s="1146"/>
      <c r="O256" s="1148">
        <v>16500</v>
      </c>
      <c r="P256" s="1146">
        <v>1</v>
      </c>
      <c r="Q256" s="1146">
        <v>12</v>
      </c>
      <c r="R256" s="1106">
        <f>ROUNDUP(O256*P256*Q256/1000,0)</f>
        <v>198</v>
      </c>
      <c r="S256" s="1146"/>
      <c r="T256" s="1147"/>
    </row>
    <row r="257" spans="1:20" ht="18" customHeight="1">
      <c r="A257" s="978"/>
      <c r="B257" s="989"/>
      <c r="C257" s="990"/>
      <c r="D257" s="980"/>
      <c r="E257" s="980"/>
      <c r="F257" s="2401" t="s">
        <v>1230</v>
      </c>
      <c r="G257" s="2402"/>
      <c r="H257" s="1871">
        <f>H258</f>
        <v>1200</v>
      </c>
      <c r="I257" s="1927">
        <v>1200</v>
      </c>
      <c r="J257" s="595">
        <f>H257-I257</f>
        <v>0</v>
      </c>
      <c r="K257" s="1020"/>
      <c r="L257" s="1083"/>
      <c r="M257" s="1078"/>
      <c r="N257" s="1146"/>
      <c r="O257" s="1148"/>
      <c r="P257" s="1146"/>
      <c r="Q257" s="1146"/>
      <c r="R257" s="1106"/>
      <c r="S257" s="1146"/>
      <c r="T257" s="1147"/>
    </row>
    <row r="258" spans="1:20" ht="18" customHeight="1">
      <c r="A258" s="978"/>
      <c r="B258" s="989"/>
      <c r="C258" s="989"/>
      <c r="D258" s="980"/>
      <c r="E258" s="980"/>
      <c r="F258" s="2407"/>
      <c r="G258" s="982" t="s">
        <v>1242</v>
      </c>
      <c r="H258" s="683">
        <f>M258</f>
        <v>1200</v>
      </c>
      <c r="I258" s="1928">
        <v>1200</v>
      </c>
      <c r="J258" s="590">
        <f>H258-I258</f>
        <v>0</v>
      </c>
      <c r="K258" s="1052" t="s">
        <v>995</v>
      </c>
      <c r="L258" s="1029"/>
      <c r="M258" s="1824">
        <f>M259</f>
        <v>1200</v>
      </c>
      <c r="N258" s="1146"/>
      <c r="O258" s="1148"/>
      <c r="P258" s="1146"/>
      <c r="Q258" s="1146"/>
      <c r="R258" s="1106"/>
      <c r="S258" s="1146"/>
      <c r="T258" s="1147"/>
    </row>
    <row r="259" spans="1:20" ht="18" customHeight="1">
      <c r="A259" s="978"/>
      <c r="B259" s="989"/>
      <c r="C259" s="990"/>
      <c r="D259" s="980"/>
      <c r="E259" s="980"/>
      <c r="F259" s="2408"/>
      <c r="G259" s="991"/>
      <c r="H259" s="1871"/>
      <c r="I259" s="1927"/>
      <c r="J259" s="595"/>
      <c r="K259" s="1082" t="s">
        <v>1453</v>
      </c>
      <c r="L259" s="1083" t="s">
        <v>242</v>
      </c>
      <c r="M259" s="1078">
        <f>S259</f>
        <v>1200</v>
      </c>
      <c r="N259" s="1146"/>
      <c r="O259" s="1148">
        <v>10000</v>
      </c>
      <c r="P259" s="1146">
        <v>10</v>
      </c>
      <c r="Q259" s="1146">
        <v>1</v>
      </c>
      <c r="R259" s="1106">
        <v>12</v>
      </c>
      <c r="S259" s="1106">
        <f>ROUNDUP(O259*P259*Q259*R259/1000,0)</f>
        <v>1200</v>
      </c>
      <c r="T259" s="1147"/>
    </row>
    <row r="260" spans="1:20" ht="18" customHeight="1">
      <c r="A260" s="978"/>
      <c r="B260" s="989"/>
      <c r="C260" s="990"/>
      <c r="D260" s="980"/>
      <c r="E260" s="980"/>
      <c r="F260" s="2401" t="s">
        <v>1233</v>
      </c>
      <c r="G260" s="2402"/>
      <c r="H260" s="1871">
        <f>H261</f>
        <v>1200</v>
      </c>
      <c r="I260" s="1929">
        <v>1200</v>
      </c>
      <c r="J260" s="595">
        <f>H260-I260</f>
        <v>0</v>
      </c>
      <c r="K260" s="1080"/>
      <c r="L260" s="1081"/>
      <c r="M260" s="1078"/>
      <c r="N260" s="1146"/>
      <c r="O260" s="1148"/>
      <c r="P260" s="1146"/>
      <c r="Q260" s="1146"/>
      <c r="R260" s="1106"/>
      <c r="S260" s="1146"/>
      <c r="T260" s="1147"/>
    </row>
    <row r="261" spans="1:20" ht="18" customHeight="1">
      <c r="A261" s="978"/>
      <c r="B261" s="989"/>
      <c r="C261" s="990"/>
      <c r="D261" s="980"/>
      <c r="E261" s="980"/>
      <c r="F261" s="989"/>
      <c r="G261" s="992" t="s">
        <v>1243</v>
      </c>
      <c r="H261" s="683">
        <f>M261</f>
        <v>1200</v>
      </c>
      <c r="I261" s="1930">
        <v>1200</v>
      </c>
      <c r="J261" s="590">
        <f>H261-I261</f>
        <v>0</v>
      </c>
      <c r="K261" s="1049" t="s">
        <v>998</v>
      </c>
      <c r="L261" s="1044"/>
      <c r="M261" s="1824">
        <f>M262</f>
        <v>1200</v>
      </c>
      <c r="N261" s="1146"/>
      <c r="O261" s="1148"/>
      <c r="P261" s="1146"/>
      <c r="Q261" s="1146"/>
      <c r="R261" s="1106"/>
      <c r="S261" s="1146"/>
      <c r="T261" s="1147"/>
    </row>
    <row r="262" spans="1:20" ht="18" customHeight="1" thickBot="1">
      <c r="A262" s="978"/>
      <c r="B262" s="989"/>
      <c r="C262" s="989"/>
      <c r="D262" s="980"/>
      <c r="E262" s="981"/>
      <c r="F262" s="989"/>
      <c r="G262" s="989"/>
      <c r="H262" s="1931"/>
      <c r="I262" s="1930"/>
      <c r="J262" s="590"/>
      <c r="K262" s="1019" t="s">
        <v>1454</v>
      </c>
      <c r="L262" s="1025" t="s">
        <v>242</v>
      </c>
      <c r="M262" s="1077">
        <f>R262</f>
        <v>1200</v>
      </c>
      <c r="N262" s="1146"/>
      <c r="O262" s="1148">
        <v>100000</v>
      </c>
      <c r="P262" s="1146">
        <v>1</v>
      </c>
      <c r="Q262" s="1146">
        <v>12</v>
      </c>
      <c r="R262" s="1106">
        <f>ROUNDUP(O262*P262*Q262/1000,0)</f>
        <v>1200</v>
      </c>
      <c r="S262" s="1146"/>
      <c r="T262" s="1147"/>
    </row>
    <row r="263" spans="1:20" ht="18" customHeight="1">
      <c r="A263" s="700" t="s">
        <v>132</v>
      </c>
      <c r="B263" s="701"/>
      <c r="C263" s="338"/>
      <c r="D263" s="338"/>
      <c r="E263" s="338"/>
      <c r="F263" s="338"/>
      <c r="G263" s="339"/>
      <c r="H263" s="1879">
        <f t="shared" ref="H263:H268" si="39">H264</f>
        <v>628009</v>
      </c>
      <c r="I263" s="1855">
        <v>707000</v>
      </c>
      <c r="J263" s="682">
        <f>H263-I263</f>
        <v>-78991</v>
      </c>
      <c r="K263" s="1053"/>
      <c r="L263" s="832"/>
      <c r="M263" s="1078"/>
      <c r="N263" s="1151"/>
      <c r="O263" s="1152"/>
      <c r="P263" s="1142"/>
      <c r="Q263" s="1142"/>
      <c r="R263" s="1142"/>
      <c r="S263" s="1142"/>
      <c r="T263" s="685"/>
    </row>
    <row r="264" spans="1:20" ht="18" customHeight="1">
      <c r="A264" s="340"/>
      <c r="B264" s="341" t="s">
        <v>142</v>
      </c>
      <c r="C264" s="341"/>
      <c r="D264" s="342"/>
      <c r="E264" s="342"/>
      <c r="F264" s="342"/>
      <c r="G264" s="343"/>
      <c r="H264" s="1879">
        <f t="shared" si="39"/>
        <v>628009</v>
      </c>
      <c r="I264" s="1880">
        <v>707000</v>
      </c>
      <c r="J264" s="667">
        <f>H264-I264</f>
        <v>-78991</v>
      </c>
      <c r="K264" s="539"/>
      <c r="L264" s="424"/>
      <c r="M264" s="1078"/>
      <c r="N264" s="1151"/>
      <c r="O264" s="1152"/>
      <c r="P264" s="1142"/>
      <c r="Q264" s="1142"/>
      <c r="R264" s="1142"/>
      <c r="S264" s="1143"/>
      <c r="T264" s="686"/>
    </row>
    <row r="265" spans="1:20" ht="18" customHeight="1">
      <c r="A265" s="340"/>
      <c r="B265" s="344"/>
      <c r="C265" s="388" t="s">
        <v>323</v>
      </c>
      <c r="D265" s="342"/>
      <c r="E265" s="342"/>
      <c r="F265" s="342"/>
      <c r="G265" s="343"/>
      <c r="H265" s="1879">
        <f t="shared" si="39"/>
        <v>628009</v>
      </c>
      <c r="I265" s="1880">
        <v>707000</v>
      </c>
      <c r="J265" s="667">
        <f t="shared" ref="J265:J268" si="40">H265-I265</f>
        <v>-78991</v>
      </c>
      <c r="K265" s="539"/>
      <c r="L265" s="424"/>
      <c r="M265" s="1078"/>
      <c r="N265" s="1151"/>
      <c r="O265" s="1152"/>
      <c r="P265" s="1142"/>
      <c r="Q265" s="1142"/>
      <c r="R265" s="1142"/>
      <c r="S265" s="1153"/>
      <c r="T265" s="1154"/>
    </row>
    <row r="266" spans="1:20" ht="18" customHeight="1">
      <c r="A266" s="340"/>
      <c r="B266" s="344"/>
      <c r="C266" s="346"/>
      <c r="D266" s="341" t="s">
        <v>1244</v>
      </c>
      <c r="E266" s="342"/>
      <c r="F266" s="342"/>
      <c r="G266" s="343"/>
      <c r="H266" s="1879">
        <f t="shared" si="39"/>
        <v>628009</v>
      </c>
      <c r="I266" s="1881">
        <v>707000</v>
      </c>
      <c r="J266" s="667">
        <f t="shared" si="40"/>
        <v>-78991</v>
      </c>
      <c r="K266" s="539"/>
      <c r="L266" s="424"/>
      <c r="M266" s="1078"/>
      <c r="N266" s="1155"/>
      <c r="O266" s="1156"/>
      <c r="P266" s="1143"/>
      <c r="Q266" s="1143"/>
      <c r="R266" s="1143"/>
      <c r="S266" s="1157"/>
      <c r="T266" s="1158"/>
    </row>
    <row r="267" spans="1:20" ht="18" customHeight="1">
      <c r="A267" s="340"/>
      <c r="B267" s="344"/>
      <c r="C267" s="347"/>
      <c r="D267" s="348"/>
      <c r="E267" s="341" t="s">
        <v>454</v>
      </c>
      <c r="F267" s="342"/>
      <c r="G267" s="343"/>
      <c r="H267" s="684">
        <f t="shared" si="39"/>
        <v>628009</v>
      </c>
      <c r="I267" s="1878">
        <v>707000</v>
      </c>
      <c r="J267" s="667">
        <f t="shared" si="40"/>
        <v>-78991</v>
      </c>
      <c r="K267" s="444"/>
      <c r="L267" s="489"/>
      <c r="M267" s="666"/>
      <c r="N267" s="1159"/>
      <c r="O267" s="1160"/>
      <c r="P267" s="1153"/>
      <c r="Q267" s="1153"/>
      <c r="R267" s="1153"/>
      <c r="S267" s="1161"/>
      <c r="T267" s="1162"/>
    </row>
    <row r="268" spans="1:20" ht="18" customHeight="1">
      <c r="A268" s="402"/>
      <c r="B268" s="949"/>
      <c r="C268" s="949"/>
      <c r="D268" s="949"/>
      <c r="E268" s="950"/>
      <c r="F268" s="951" t="s">
        <v>1245</v>
      </c>
      <c r="G268" s="951"/>
      <c r="H268" s="1859">
        <f t="shared" si="39"/>
        <v>628009</v>
      </c>
      <c r="I268" s="1917">
        <v>707000</v>
      </c>
      <c r="J268" s="595">
        <f t="shared" si="40"/>
        <v>-78991</v>
      </c>
      <c r="K268" s="1075"/>
      <c r="L268" s="1054"/>
      <c r="M268" s="668"/>
      <c r="N268" s="1163"/>
      <c r="O268" s="1164"/>
      <c r="P268" s="1157"/>
      <c r="Q268" s="1157"/>
      <c r="R268" s="1157"/>
      <c r="S268" s="1165"/>
      <c r="T268" s="1166"/>
    </row>
    <row r="269" spans="1:20" ht="18" customHeight="1">
      <c r="A269" s="402"/>
      <c r="B269" s="949"/>
      <c r="C269" s="949"/>
      <c r="D269" s="949"/>
      <c r="E269" s="949"/>
      <c r="F269" s="952"/>
      <c r="G269" s="953" t="s">
        <v>1246</v>
      </c>
      <c r="H269" s="683">
        <f>M269</f>
        <v>628009</v>
      </c>
      <c r="I269" s="1909">
        <v>707000</v>
      </c>
      <c r="J269" s="590">
        <f>H269-I269</f>
        <v>-78991</v>
      </c>
      <c r="K269" s="856" t="s">
        <v>1219</v>
      </c>
      <c r="L269" s="1055"/>
      <c r="M269" s="666">
        <f>M270+M274</f>
        <v>628009</v>
      </c>
      <c r="N269" s="1123"/>
      <c r="O269" s="1167"/>
      <c r="P269" s="1124"/>
      <c r="Q269" s="1161"/>
      <c r="R269" s="1161"/>
      <c r="S269" s="1165"/>
      <c r="T269" s="1166"/>
    </row>
    <row r="270" spans="1:20" ht="18" customHeight="1">
      <c r="A270" s="402"/>
      <c r="B270" s="949"/>
      <c r="C270" s="949"/>
      <c r="D270" s="949"/>
      <c r="E270" s="949"/>
      <c r="F270" s="952"/>
      <c r="G270" s="954"/>
      <c r="H270" s="683"/>
      <c r="I270" s="1909"/>
      <c r="J270" s="590"/>
      <c r="K270" s="778" t="s">
        <v>1455</v>
      </c>
      <c r="L270" s="1055"/>
      <c r="M270" s="666">
        <f>SUM(M271:M273)</f>
        <v>612009</v>
      </c>
      <c r="N270" s="1123"/>
      <c r="O270" s="1167"/>
      <c r="P270" s="1124"/>
      <c r="Q270" s="1165"/>
      <c r="R270" s="1165"/>
      <c r="S270" s="1165"/>
      <c r="T270" s="1166"/>
    </row>
    <row r="271" spans="1:20" ht="18" customHeight="1">
      <c r="A271" s="402"/>
      <c r="B271" s="949"/>
      <c r="C271" s="949"/>
      <c r="D271" s="949"/>
      <c r="E271" s="949"/>
      <c r="F271" s="952"/>
      <c r="G271" s="954"/>
      <c r="H271" s="683"/>
      <c r="I271" s="1909"/>
      <c r="J271" s="590"/>
      <c r="K271" s="778" t="s">
        <v>1456</v>
      </c>
      <c r="L271" s="1055" t="s">
        <v>464</v>
      </c>
      <c r="M271" s="666">
        <f>R271</f>
        <v>348688</v>
      </c>
      <c r="N271" s="1123"/>
      <c r="O271" s="1167">
        <v>174344000</v>
      </c>
      <c r="P271" s="1124">
        <v>2</v>
      </c>
      <c r="Q271" s="1165">
        <v>1</v>
      </c>
      <c r="R271" s="1161">
        <f>ROUNDUP(O271*P271*Q271/1000,0)</f>
        <v>348688</v>
      </c>
      <c r="S271" s="1165"/>
      <c r="T271" s="1166"/>
    </row>
    <row r="272" spans="1:20" ht="18" customHeight="1">
      <c r="A272" s="402"/>
      <c r="B272" s="949"/>
      <c r="C272" s="949"/>
      <c r="D272" s="949"/>
      <c r="E272" s="949"/>
      <c r="F272" s="952"/>
      <c r="G272" s="954"/>
      <c r="H272" s="683"/>
      <c r="I272" s="1909"/>
      <c r="J272" s="590"/>
      <c r="K272" s="861" t="s">
        <v>1457</v>
      </c>
      <c r="L272" s="1055" t="s">
        <v>242</v>
      </c>
      <c r="M272" s="666">
        <f t="shared" ref="M272:M274" si="41">R272</f>
        <v>162531</v>
      </c>
      <c r="N272" s="1123"/>
      <c r="O272" s="1167">
        <v>162531000</v>
      </c>
      <c r="P272" s="1124">
        <v>1</v>
      </c>
      <c r="Q272" s="1165">
        <v>1</v>
      </c>
      <c r="R272" s="1161">
        <f>ROUNDUP(O272*P272*Q272/1000,0)</f>
        <v>162531</v>
      </c>
      <c r="S272" s="1142"/>
      <c r="T272" s="685"/>
    </row>
    <row r="273" spans="1:20" ht="18" customHeight="1">
      <c r="A273" s="402"/>
      <c r="B273" s="949"/>
      <c r="C273" s="949"/>
      <c r="D273" s="949"/>
      <c r="E273" s="949"/>
      <c r="F273" s="952"/>
      <c r="G273" s="993"/>
      <c r="H273" s="683"/>
      <c r="I273" s="1909"/>
      <c r="J273" s="590"/>
      <c r="K273" s="861" t="s">
        <v>1458</v>
      </c>
      <c r="L273" s="1055" t="s">
        <v>242</v>
      </c>
      <c r="M273" s="666">
        <f t="shared" si="41"/>
        <v>100790</v>
      </c>
      <c r="N273" s="1123"/>
      <c r="O273" s="1167">
        <v>100790000</v>
      </c>
      <c r="P273" s="1124">
        <v>1</v>
      </c>
      <c r="Q273" s="1165">
        <v>1</v>
      </c>
      <c r="R273" s="1161">
        <f>ROUNDUP(O273*P273*Q273/1000,0)</f>
        <v>100790</v>
      </c>
      <c r="S273" s="1142"/>
      <c r="T273" s="685"/>
    </row>
    <row r="274" spans="1:20" ht="18" customHeight="1">
      <c r="A274" s="402"/>
      <c r="B274" s="949"/>
      <c r="C274" s="949"/>
      <c r="D274" s="949"/>
      <c r="E274" s="949"/>
      <c r="F274" s="952"/>
      <c r="G274" s="993"/>
      <c r="H274" s="1871"/>
      <c r="I274" s="1908"/>
      <c r="J274" s="595"/>
      <c r="K274" s="1010" t="s">
        <v>1459</v>
      </c>
      <c r="L274" s="1055" t="s">
        <v>242</v>
      </c>
      <c r="M274" s="1078">
        <f t="shared" si="41"/>
        <v>16000</v>
      </c>
      <c r="N274" s="1123"/>
      <c r="O274" s="1167">
        <v>4000000</v>
      </c>
      <c r="P274" s="1124">
        <v>4</v>
      </c>
      <c r="Q274" s="1165">
        <v>1</v>
      </c>
      <c r="R274" s="1161">
        <f>ROUNDUP(O274*P274*Q274/1000,0)</f>
        <v>16000</v>
      </c>
      <c r="S274" s="1142"/>
      <c r="T274" s="685"/>
    </row>
    <row r="275" spans="1:20" ht="18" customHeight="1">
      <c r="A275" s="340"/>
      <c r="B275" s="344"/>
      <c r="C275" s="344"/>
      <c r="D275" s="341" t="s">
        <v>1247</v>
      </c>
      <c r="E275" s="342"/>
      <c r="F275" s="342"/>
      <c r="G275" s="343"/>
      <c r="H275" s="1871">
        <f>H276</f>
        <v>0</v>
      </c>
      <c r="I275" s="1880">
        <v>0</v>
      </c>
      <c r="J275" s="595">
        <f>H275-I275</f>
        <v>0</v>
      </c>
      <c r="K275" s="494"/>
      <c r="L275" s="541"/>
      <c r="M275" s="1078"/>
      <c r="N275" s="1155"/>
      <c r="O275" s="1156"/>
      <c r="P275" s="1143"/>
      <c r="Q275" s="1143"/>
      <c r="R275" s="1161"/>
      <c r="S275" s="1168"/>
      <c r="T275" s="1169"/>
    </row>
    <row r="276" spans="1:20" ht="18" customHeight="1">
      <c r="A276" s="340"/>
      <c r="B276" s="344"/>
      <c r="C276" s="347"/>
      <c r="D276" s="348"/>
      <c r="E276" s="341" t="s">
        <v>454</v>
      </c>
      <c r="F276" s="342"/>
      <c r="G276" s="343"/>
      <c r="H276" s="683">
        <f>H277</f>
        <v>0</v>
      </c>
      <c r="I276" s="1878">
        <v>0</v>
      </c>
      <c r="J276" s="595">
        <f t="shared" ref="J276:J283" si="42">H276-I276</f>
        <v>0</v>
      </c>
      <c r="K276" s="427"/>
      <c r="L276" s="428"/>
      <c r="M276" s="666"/>
      <c r="N276" s="1159"/>
      <c r="O276" s="1160"/>
      <c r="P276" s="1153"/>
      <c r="Q276" s="1153"/>
      <c r="R276" s="1161"/>
      <c r="S276" s="1170"/>
      <c r="T276" s="1166"/>
    </row>
    <row r="277" spans="1:20" ht="18" customHeight="1">
      <c r="A277" s="402"/>
      <c r="B277" s="949"/>
      <c r="C277" s="949"/>
      <c r="D277" s="949"/>
      <c r="E277" s="950"/>
      <c r="F277" s="951" t="s">
        <v>1245</v>
      </c>
      <c r="G277" s="951"/>
      <c r="H277" s="1859">
        <f>H278</f>
        <v>0</v>
      </c>
      <c r="I277" s="1917">
        <v>0</v>
      </c>
      <c r="J277" s="595">
        <f t="shared" si="42"/>
        <v>0</v>
      </c>
      <c r="K277" s="1075"/>
      <c r="L277" s="1054"/>
      <c r="M277" s="668"/>
      <c r="N277" s="1171"/>
      <c r="O277" s="1172"/>
      <c r="P277" s="1168"/>
      <c r="Q277" s="1168"/>
      <c r="R277" s="1161"/>
      <c r="S277" s="1170"/>
      <c r="T277" s="1166"/>
    </row>
    <row r="278" spans="1:20" ht="18" customHeight="1">
      <c r="A278" s="402"/>
      <c r="B278" s="949"/>
      <c r="C278" s="949"/>
      <c r="D278" s="949"/>
      <c r="E278" s="949"/>
      <c r="F278" s="952"/>
      <c r="G278" s="953" t="s">
        <v>1246</v>
      </c>
      <c r="H278" s="1871">
        <f>M278</f>
        <v>0</v>
      </c>
      <c r="I278" s="1908">
        <v>0</v>
      </c>
      <c r="J278" s="595">
        <f t="shared" si="42"/>
        <v>0</v>
      </c>
      <c r="K278" s="1056" t="s">
        <v>1219</v>
      </c>
      <c r="L278" s="976"/>
      <c r="M278" s="1078">
        <v>0</v>
      </c>
      <c r="N278" s="1171"/>
      <c r="O278" s="1172"/>
      <c r="P278" s="1168"/>
      <c r="Q278" s="1170"/>
      <c r="R278" s="1161"/>
      <c r="S278" s="1161"/>
      <c r="T278" s="1162"/>
    </row>
    <row r="279" spans="1:20" ht="18" customHeight="1">
      <c r="A279" s="340"/>
      <c r="B279" s="344"/>
      <c r="C279" s="317" t="s">
        <v>331</v>
      </c>
      <c r="D279" s="342"/>
      <c r="E279" s="342"/>
      <c r="F279" s="342"/>
      <c r="G279" s="343"/>
      <c r="H279" s="1871">
        <f>H280</f>
        <v>0</v>
      </c>
      <c r="I279" s="1880">
        <v>0</v>
      </c>
      <c r="J279" s="595">
        <f t="shared" si="42"/>
        <v>0</v>
      </c>
      <c r="K279" s="540"/>
      <c r="L279" s="495"/>
      <c r="M279" s="1078"/>
      <c r="N279" s="1146"/>
      <c r="O279" s="1148"/>
      <c r="P279" s="1146"/>
      <c r="Q279" s="1146"/>
      <c r="R279" s="1161"/>
      <c r="S279" s="1146"/>
      <c r="T279" s="1147"/>
    </row>
    <row r="280" spans="1:20" ht="18" customHeight="1">
      <c r="A280" s="340"/>
      <c r="B280" s="344"/>
      <c r="C280" s="344"/>
      <c r="D280" s="341" t="s">
        <v>1248</v>
      </c>
      <c r="E280" s="342"/>
      <c r="F280" s="342"/>
      <c r="G280" s="343"/>
      <c r="H280" s="1871">
        <f>H281</f>
        <v>0</v>
      </c>
      <c r="I280" s="1880">
        <v>0</v>
      </c>
      <c r="J280" s="595">
        <f t="shared" si="42"/>
        <v>0</v>
      </c>
      <c r="K280" s="494"/>
      <c r="L280" s="428"/>
      <c r="M280" s="1078"/>
      <c r="N280" s="1146"/>
      <c r="O280" s="1148"/>
      <c r="P280" s="1146"/>
      <c r="Q280" s="1146"/>
      <c r="R280" s="1161"/>
      <c r="S280" s="1146"/>
      <c r="T280" s="1147"/>
    </row>
    <row r="281" spans="1:20" ht="18" customHeight="1">
      <c r="A281" s="340"/>
      <c r="B281" s="344"/>
      <c r="C281" s="347"/>
      <c r="D281" s="348"/>
      <c r="E281" s="341" t="s">
        <v>454</v>
      </c>
      <c r="F281" s="342"/>
      <c r="G281" s="343"/>
      <c r="H281" s="1871">
        <f>H282</f>
        <v>0</v>
      </c>
      <c r="I281" s="1880">
        <v>0</v>
      </c>
      <c r="J281" s="595">
        <f t="shared" si="42"/>
        <v>0</v>
      </c>
      <c r="K281" s="427"/>
      <c r="L281" s="1054"/>
      <c r="M281" s="1078"/>
      <c r="N281" s="1146"/>
      <c r="O281" s="1148"/>
      <c r="P281" s="1146"/>
      <c r="Q281" s="1146"/>
      <c r="R281" s="1161"/>
      <c r="S281" s="1146"/>
      <c r="T281" s="1147"/>
    </row>
    <row r="282" spans="1:20" ht="18" customHeight="1">
      <c r="A282" s="402"/>
      <c r="B282" s="949"/>
      <c r="C282" s="949"/>
      <c r="D282" s="949"/>
      <c r="E282" s="950"/>
      <c r="F282" s="951" t="s">
        <v>1245</v>
      </c>
      <c r="G282" s="951"/>
      <c r="H282" s="1871">
        <f>H283</f>
        <v>0</v>
      </c>
      <c r="I282" s="1908">
        <v>0</v>
      </c>
      <c r="J282" s="595">
        <f t="shared" si="42"/>
        <v>0</v>
      </c>
      <c r="K282" s="1075"/>
      <c r="L282" s="1057"/>
      <c r="M282" s="1078"/>
      <c r="N282" s="1146"/>
      <c r="O282" s="1148"/>
      <c r="P282" s="1146"/>
      <c r="Q282" s="1146"/>
      <c r="R282" s="1161"/>
      <c r="S282" s="1146"/>
      <c r="T282" s="1147"/>
    </row>
    <row r="283" spans="1:20" ht="18" customHeight="1" thickBot="1">
      <c r="A283" s="1058"/>
      <c r="B283" s="1059"/>
      <c r="C283" s="1059"/>
      <c r="D283" s="1059"/>
      <c r="E283" s="1059"/>
      <c r="F283" s="1060"/>
      <c r="G283" s="1061" t="s">
        <v>1246</v>
      </c>
      <c r="H283" s="1904">
        <f>M283</f>
        <v>0</v>
      </c>
      <c r="I283" s="1932">
        <v>0</v>
      </c>
      <c r="J283" s="1079">
        <f t="shared" si="42"/>
        <v>0</v>
      </c>
      <c r="K283" s="1076" t="s">
        <v>1219</v>
      </c>
      <c r="L283" s="1063"/>
      <c r="M283" s="1077">
        <v>0</v>
      </c>
      <c r="N283" s="1146"/>
      <c r="O283" s="1148"/>
      <c r="P283" s="1146"/>
      <c r="Q283" s="1146"/>
      <c r="R283" s="1161"/>
      <c r="S283" s="1146"/>
      <c r="T283" s="1147"/>
    </row>
    <row r="284" spans="1:20" ht="18" customHeight="1">
      <c r="J284" s="25"/>
    </row>
  </sheetData>
  <mergeCells count="17">
    <mergeCell ref="N12:T12"/>
    <mergeCell ref="N18:P18"/>
    <mergeCell ref="N26:P26"/>
    <mergeCell ref="S51:T51"/>
    <mergeCell ref="N66:O66"/>
    <mergeCell ref="K2:M3"/>
    <mergeCell ref="A4:G4"/>
    <mergeCell ref="F220:G220"/>
    <mergeCell ref="F257:G257"/>
    <mergeCell ref="F258:F259"/>
    <mergeCell ref="I2:I3"/>
    <mergeCell ref="J2:J3"/>
    <mergeCell ref="F260:G260"/>
    <mergeCell ref="A2:A3"/>
    <mergeCell ref="B2:D2"/>
    <mergeCell ref="E2:G2"/>
    <mergeCell ref="H2:H3"/>
  </mergeCells>
  <phoneticPr fontId="3" type="noConversion"/>
  <conditionalFormatting sqref="J2:J3">
    <cfRule type="containsText" dxfId="17" priority="1" operator="containsText" text="허하나로">
      <formula>NOT(ISERROR(SEARCH("허하나로",H734)))</formula>
    </cfRule>
    <cfRule type="containsText" dxfId="16" priority="2" operator="containsText" text="한별">
      <formula>NOT(ISERROR(SEARCH("한별",H734)))</formula>
    </cfRule>
    <cfRule type="containsText" dxfId="15" priority="3" operator="containsText" text="정홍조">
      <formula>NOT(ISERROR(SEARCH("정홍조",H734)))</formula>
    </cfRule>
    <cfRule type="containsText" dxfId="14" priority="4" operator="containsText" text="김지윤">
      <formula>NOT(ISERROR(SEARCH("김지윤",H734)))</formula>
    </cfRule>
    <cfRule type="containsText" dxfId="13" priority="5" operator="containsText" text="전준영">
      <formula>NOT(ISERROR(SEARCH("전준영",H734)))</formula>
    </cfRule>
    <cfRule type="containsText" dxfId="12" priority="6" operator="containsText" text="차재성">
      <formula>NOT(ISERROR(SEARCH("차재성",H734)))</formula>
    </cfRule>
  </conditionalFormatting>
  <pageMargins left="0.94488188976377951" right="0.78740157480314965" top="0.6692913385826772" bottom="0.98425196850393704" header="0.51181102362204722" footer="0.51181102362204722"/>
  <pageSetup paperSize="9" scale="59" orientation="landscape" r:id="rId1"/>
  <colBreaks count="1" manualBreakCount="1">
    <brk id="13" max="1048575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546DA-A02B-4896-9FF6-71F8A4490531}">
  <dimension ref="A1:X370"/>
  <sheetViews>
    <sheetView topLeftCell="A340" zoomScaleNormal="100" workbookViewId="0">
      <selection activeCell="H330" activeCellId="18" sqref="H10 H21 H82 H86 H89 H97 H102 H107 H114 H125 H177 H182 H189 H232 H235 H244 H275 H325 H330"/>
    </sheetView>
  </sheetViews>
  <sheetFormatPr defaultRowHeight="18" customHeight="1"/>
  <cols>
    <col min="1" max="6" width="3.875" customWidth="1"/>
    <col min="7" max="7" width="20.75" customWidth="1"/>
    <col min="8" max="10" width="14.625" customWidth="1"/>
    <col min="11" max="11" width="69.25" customWidth="1"/>
    <col min="12" max="12" width="3.625" customWidth="1"/>
    <col min="13" max="13" width="14.625" customWidth="1"/>
    <col min="14" max="14" width="67.375" bestFit="1" customWidth="1"/>
    <col min="16" max="16" width="11.625" bestFit="1" customWidth="1"/>
    <col min="17" max="20" width="8.625" customWidth="1"/>
  </cols>
  <sheetData>
    <row r="1" spans="1:24" ht="18" customHeight="1" thickBot="1">
      <c r="A1" s="1193" t="s">
        <v>1468</v>
      </c>
      <c r="B1" s="1194"/>
      <c r="C1" s="1193"/>
      <c r="D1" s="1193"/>
      <c r="E1" s="1193"/>
      <c r="F1" s="1193"/>
      <c r="G1" s="1195"/>
      <c r="H1" s="1196"/>
      <c r="I1" s="1196"/>
      <c r="J1" s="1195"/>
      <c r="K1" s="1195"/>
      <c r="L1" s="1195"/>
      <c r="M1" s="1197" t="s">
        <v>1479</v>
      </c>
    </row>
    <row r="2" spans="1:24" ht="18" customHeight="1">
      <c r="A2" s="2432" t="s">
        <v>1469</v>
      </c>
      <c r="B2" s="2434" t="s">
        <v>1470</v>
      </c>
      <c r="C2" s="2435"/>
      <c r="D2" s="2419"/>
      <c r="E2" s="2434" t="s">
        <v>1471</v>
      </c>
      <c r="F2" s="2435"/>
      <c r="G2" s="2419"/>
      <c r="H2" s="2436" t="s">
        <v>390</v>
      </c>
      <c r="I2" s="2438" t="s">
        <v>391</v>
      </c>
      <c r="J2" s="2438" t="s">
        <v>392</v>
      </c>
      <c r="K2" s="2419" t="s">
        <v>393</v>
      </c>
      <c r="L2" s="2420"/>
      <c r="M2" s="2421"/>
      <c r="N2" s="2138"/>
      <c r="O2" s="614"/>
      <c r="P2" s="613"/>
      <c r="Q2" s="614"/>
      <c r="R2" s="614"/>
      <c r="S2" s="614"/>
      <c r="T2" s="615"/>
      <c r="U2" s="616"/>
      <c r="V2" s="389"/>
      <c r="W2" s="389"/>
      <c r="X2" s="389"/>
    </row>
    <row r="3" spans="1:24" ht="18" customHeight="1" thickBot="1">
      <c r="A3" s="2433"/>
      <c r="B3" s="1198" t="s">
        <v>1472</v>
      </c>
      <c r="C3" s="1198" t="s">
        <v>1473</v>
      </c>
      <c r="D3" s="1198" t="s">
        <v>1474</v>
      </c>
      <c r="E3" s="1198" t="s">
        <v>1475</v>
      </c>
      <c r="F3" s="1198" t="s">
        <v>1476</v>
      </c>
      <c r="G3" s="1198" t="s">
        <v>1477</v>
      </c>
      <c r="H3" s="2437"/>
      <c r="I3" s="2439"/>
      <c r="J3" s="2439"/>
      <c r="K3" s="2422"/>
      <c r="L3" s="2423"/>
      <c r="M3" s="2424"/>
      <c r="N3" s="2139"/>
      <c r="O3" s="614"/>
      <c r="P3" s="613"/>
      <c r="Q3" s="614"/>
      <c r="R3" s="614"/>
      <c r="S3" s="614"/>
      <c r="T3" s="615"/>
      <c r="U3" s="616"/>
      <c r="V3" s="389"/>
      <c r="W3" s="389"/>
      <c r="X3" s="389"/>
    </row>
    <row r="4" spans="1:24" ht="18" customHeight="1" thickBot="1">
      <c r="A4" s="2425" t="s">
        <v>1478</v>
      </c>
      <c r="B4" s="2426"/>
      <c r="C4" s="2426"/>
      <c r="D4" s="2426"/>
      <c r="E4" s="2426"/>
      <c r="F4" s="2426"/>
      <c r="G4" s="2427"/>
      <c r="H4" s="1933">
        <f>H5+H335</f>
        <v>3047594</v>
      </c>
      <c r="I4" s="1933">
        <v>1998382</v>
      </c>
      <c r="J4" s="1199">
        <f>H4-I4</f>
        <v>1049212</v>
      </c>
      <c r="K4" s="1200"/>
      <c r="L4" s="1200"/>
      <c r="M4" s="1201"/>
      <c r="N4" s="2140"/>
      <c r="O4" s="1420"/>
      <c r="P4" s="1421"/>
      <c r="Q4" s="1422"/>
      <c r="R4" s="1423"/>
      <c r="S4" s="1423"/>
      <c r="T4" s="1424"/>
      <c r="U4" s="1425"/>
      <c r="V4" s="1425"/>
      <c r="W4" s="1425"/>
      <c r="X4" s="1424"/>
    </row>
    <row r="5" spans="1:24" ht="18" customHeight="1">
      <c r="A5" s="700" t="s">
        <v>1480</v>
      </c>
      <c r="B5" s="701"/>
      <c r="C5" s="338"/>
      <c r="D5" s="338"/>
      <c r="E5" s="338"/>
      <c r="F5" s="338"/>
      <c r="G5" s="339"/>
      <c r="H5" s="1934">
        <f>H6</f>
        <v>2905694</v>
      </c>
      <c r="I5" s="1935">
        <v>1977742</v>
      </c>
      <c r="J5" s="682">
        <f>H5-I5</f>
        <v>927952</v>
      </c>
      <c r="K5" s="1304"/>
      <c r="L5" s="1305"/>
      <c r="M5" s="846"/>
      <c r="N5" s="2141"/>
      <c r="O5" s="609"/>
      <c r="P5" s="610"/>
      <c r="Q5" s="1426"/>
      <c r="R5" s="1426"/>
      <c r="S5" s="1426"/>
      <c r="T5" s="1427"/>
      <c r="U5" s="387"/>
      <c r="V5" s="389"/>
      <c r="W5" s="389"/>
      <c r="X5" s="389"/>
    </row>
    <row r="6" spans="1:24" ht="18" customHeight="1">
      <c r="A6" s="340"/>
      <c r="B6" s="341" t="s">
        <v>1481</v>
      </c>
      <c r="C6" s="341"/>
      <c r="D6" s="342"/>
      <c r="E6" s="342"/>
      <c r="F6" s="342"/>
      <c r="G6" s="343"/>
      <c r="H6" s="684">
        <f>H7+H111+H186+H241</f>
        <v>2905694</v>
      </c>
      <c r="I6" s="1935">
        <v>1977742</v>
      </c>
      <c r="J6" s="607">
        <f>H6-I6</f>
        <v>927952</v>
      </c>
      <c r="K6" s="1304"/>
      <c r="L6" s="1305"/>
      <c r="M6" s="1553"/>
      <c r="N6" s="2141"/>
      <c r="O6" s="609"/>
      <c r="P6" s="610"/>
      <c r="Q6" s="1426"/>
      <c r="R6" s="1426"/>
      <c r="S6" s="1426"/>
      <c r="T6" s="1427"/>
      <c r="U6" s="387"/>
      <c r="V6" s="389"/>
      <c r="W6" s="389"/>
      <c r="X6" s="389"/>
    </row>
    <row r="7" spans="1:24" ht="18" customHeight="1">
      <c r="A7" s="340"/>
      <c r="B7" s="344"/>
      <c r="C7" s="1202" t="s">
        <v>1482</v>
      </c>
      <c r="D7" s="342"/>
      <c r="E7" s="342"/>
      <c r="F7" s="342"/>
      <c r="G7" s="343"/>
      <c r="H7" s="1875">
        <f>H8+H100</f>
        <v>1145394</v>
      </c>
      <c r="I7" s="1935">
        <v>1004886</v>
      </c>
      <c r="J7" s="601">
        <f t="shared" ref="J7:J11" si="0">H7-I7</f>
        <v>140508</v>
      </c>
      <c r="K7" s="1304"/>
      <c r="L7" s="1305"/>
      <c r="M7" s="1553"/>
      <c r="N7" s="2142"/>
      <c r="O7" s="1428"/>
      <c r="P7" s="1428"/>
      <c r="Q7" s="1428"/>
      <c r="R7" s="1428"/>
      <c r="S7" s="1428"/>
      <c r="T7" s="1428"/>
      <c r="U7" s="1428"/>
      <c r="V7" s="389"/>
      <c r="W7" s="389"/>
      <c r="X7" s="389"/>
    </row>
    <row r="8" spans="1:24" ht="18" customHeight="1">
      <c r="A8" s="340"/>
      <c r="B8" s="344"/>
      <c r="C8" s="346"/>
      <c r="D8" s="341" t="s">
        <v>1483</v>
      </c>
      <c r="E8" s="342"/>
      <c r="F8" s="342"/>
      <c r="G8" s="343"/>
      <c r="H8" s="1866">
        <f>H9+H20+H96</f>
        <v>1045040</v>
      </c>
      <c r="I8" s="1936">
        <v>950032</v>
      </c>
      <c r="J8" s="601">
        <f t="shared" si="0"/>
        <v>95008</v>
      </c>
      <c r="K8" s="1306"/>
      <c r="L8" s="1307"/>
      <c r="M8" s="1553"/>
      <c r="N8" s="2141"/>
      <c r="O8" s="609"/>
      <c r="P8" s="610"/>
      <c r="Q8" s="1426"/>
      <c r="R8" s="1426"/>
      <c r="S8" s="1426"/>
      <c r="T8" s="1427"/>
      <c r="U8" s="387"/>
      <c r="V8" s="389"/>
      <c r="W8" s="389"/>
      <c r="X8" s="389"/>
    </row>
    <row r="9" spans="1:24" ht="18" customHeight="1">
      <c r="A9" s="340"/>
      <c r="B9" s="344"/>
      <c r="C9" s="1203"/>
      <c r="D9" s="348"/>
      <c r="E9" s="341" t="s">
        <v>443</v>
      </c>
      <c r="F9" s="342"/>
      <c r="G9" s="343"/>
      <c r="H9" s="1866">
        <f>H10</f>
        <v>140863</v>
      </c>
      <c r="I9" s="1937">
        <v>147745</v>
      </c>
      <c r="J9" s="667">
        <f t="shared" si="0"/>
        <v>-6882</v>
      </c>
      <c r="K9" s="1308"/>
      <c r="L9" s="1309"/>
      <c r="M9" s="1553"/>
      <c r="N9" s="2141"/>
      <c r="O9" s="609"/>
      <c r="P9" s="610"/>
      <c r="Q9" s="1426"/>
      <c r="R9" s="1426"/>
      <c r="S9" s="1426"/>
      <c r="T9" s="1429"/>
      <c r="U9" s="387"/>
      <c r="V9" s="389"/>
      <c r="W9" s="389"/>
      <c r="X9" s="389"/>
    </row>
    <row r="10" spans="1:24" ht="18" customHeight="1">
      <c r="A10" s="1204"/>
      <c r="B10" s="1205"/>
      <c r="C10" s="1206"/>
      <c r="D10" s="1207"/>
      <c r="E10" s="1208"/>
      <c r="F10" s="1209" t="s">
        <v>444</v>
      </c>
      <c r="G10" s="1210"/>
      <c r="H10" s="683">
        <f>H11</f>
        <v>140863</v>
      </c>
      <c r="I10" s="1938">
        <v>147745</v>
      </c>
      <c r="J10" s="590">
        <f t="shared" si="0"/>
        <v>-6882</v>
      </c>
      <c r="K10" s="1550"/>
      <c r="L10" s="1310"/>
      <c r="M10" s="1553"/>
      <c r="N10" s="2143"/>
      <c r="O10" s="1425"/>
      <c r="P10" s="1425"/>
      <c r="Q10" s="1425"/>
      <c r="R10" s="1425"/>
      <c r="S10" s="1425"/>
      <c r="T10" s="1425"/>
      <c r="U10" s="1425"/>
      <c r="V10" s="1425"/>
      <c r="W10" s="1425"/>
      <c r="X10" s="1425"/>
    </row>
    <row r="11" spans="1:24" ht="18" customHeight="1">
      <c r="A11" s="1204"/>
      <c r="B11" s="1205"/>
      <c r="C11" s="1205"/>
      <c r="D11" s="1211"/>
      <c r="E11" s="1212"/>
      <c r="F11" s="1212"/>
      <c r="G11" s="1213" t="s">
        <v>447</v>
      </c>
      <c r="H11" s="1876">
        <f>M11</f>
        <v>140863</v>
      </c>
      <c r="I11" s="1939">
        <v>147745</v>
      </c>
      <c r="J11" s="594">
        <f t="shared" si="0"/>
        <v>-6882</v>
      </c>
      <c r="K11" s="1551" t="s">
        <v>1510</v>
      </c>
      <c r="L11" s="1311"/>
      <c r="M11" s="1827">
        <f>M12</f>
        <v>140863</v>
      </c>
      <c r="N11" s="1543"/>
      <c r="O11" s="1424"/>
      <c r="P11" s="1425"/>
      <c r="Q11" s="1425"/>
      <c r="R11" s="1425"/>
      <c r="S11" s="1425"/>
      <c r="T11" s="1425"/>
      <c r="U11" s="1425"/>
      <c r="V11" s="1425"/>
      <c r="W11" s="1425"/>
      <c r="X11" s="1425"/>
    </row>
    <row r="12" spans="1:24" ht="18" customHeight="1">
      <c r="A12" s="1204"/>
      <c r="B12" s="1205"/>
      <c r="C12" s="1205"/>
      <c r="D12" s="1211"/>
      <c r="E12" s="1212"/>
      <c r="F12" s="1212"/>
      <c r="G12" s="1214"/>
      <c r="H12" s="683"/>
      <c r="I12" s="1940"/>
      <c r="J12" s="590"/>
      <c r="K12" s="1552" t="s">
        <v>1511</v>
      </c>
      <c r="L12" s="1312"/>
      <c r="M12" s="666">
        <f>SUM(M13:M19)</f>
        <v>140863</v>
      </c>
      <c r="N12" s="1503" t="s">
        <v>1755</v>
      </c>
      <c r="O12" s="1424"/>
      <c r="P12" s="1430"/>
      <c r="Q12" s="1425"/>
      <c r="R12" s="1425"/>
      <c r="S12" s="1425"/>
      <c r="T12" s="1425"/>
      <c r="U12" s="1425"/>
      <c r="V12" s="1425"/>
      <c r="W12" s="1425"/>
      <c r="X12" s="1425"/>
    </row>
    <row r="13" spans="1:24" ht="18" customHeight="1">
      <c r="A13" s="1204"/>
      <c r="B13" s="1205"/>
      <c r="C13" s="1205"/>
      <c r="D13" s="1211"/>
      <c r="E13" s="1212"/>
      <c r="F13" s="1212"/>
      <c r="G13" s="1214"/>
      <c r="H13" s="683"/>
      <c r="I13" s="1940"/>
      <c r="J13" s="845"/>
      <c r="K13" s="1313" t="s">
        <v>1512</v>
      </c>
      <c r="L13" s="1314" t="s">
        <v>464</v>
      </c>
      <c r="M13" s="666">
        <v>89813</v>
      </c>
      <c r="N13" s="1503"/>
      <c r="O13" s="1431"/>
      <c r="P13" s="1432">
        <v>11340</v>
      </c>
      <c r="Q13" s="1433">
        <v>4.5</v>
      </c>
      <c r="R13" s="1434">
        <v>8</v>
      </c>
      <c r="S13" s="1433">
        <v>5</v>
      </c>
      <c r="T13" s="1433">
        <v>44</v>
      </c>
      <c r="U13" s="1425"/>
      <c r="V13" s="1425"/>
      <c r="W13" s="1425"/>
      <c r="X13" s="1425"/>
    </row>
    <row r="14" spans="1:24" ht="18" customHeight="1">
      <c r="A14" s="1204"/>
      <c r="B14" s="1205"/>
      <c r="C14" s="1205"/>
      <c r="D14" s="1211"/>
      <c r="E14" s="1212"/>
      <c r="F14" s="1212"/>
      <c r="G14" s="1214"/>
      <c r="H14" s="683"/>
      <c r="I14" s="1940"/>
      <c r="J14" s="845"/>
      <c r="K14" s="1313" t="s">
        <v>1513</v>
      </c>
      <c r="L14" s="1314" t="s">
        <v>464</v>
      </c>
      <c r="M14" s="666">
        <v>26944</v>
      </c>
      <c r="N14" s="1503"/>
      <c r="O14" s="1431"/>
      <c r="P14" s="1432">
        <v>11340</v>
      </c>
      <c r="Q14" s="1433">
        <v>4.5</v>
      </c>
      <c r="R14" s="1433">
        <v>8</v>
      </c>
      <c r="S14" s="1434">
        <v>1.5</v>
      </c>
      <c r="T14" s="1433">
        <v>44</v>
      </c>
      <c r="U14" s="1425"/>
      <c r="V14" s="1425"/>
      <c r="W14" s="1425"/>
      <c r="X14" s="1425"/>
    </row>
    <row r="15" spans="1:24" ht="18" customHeight="1">
      <c r="A15" s="1204"/>
      <c r="B15" s="1205"/>
      <c r="C15" s="1205"/>
      <c r="D15" s="1211"/>
      <c r="E15" s="1212"/>
      <c r="F15" s="1212"/>
      <c r="G15" s="1214"/>
      <c r="H15" s="683"/>
      <c r="I15" s="1940"/>
      <c r="J15" s="590"/>
      <c r="K15" s="1315" t="s">
        <v>1514</v>
      </c>
      <c r="L15" s="1314" t="s">
        <v>464</v>
      </c>
      <c r="M15" s="666">
        <v>561</v>
      </c>
      <c r="N15" s="1503"/>
      <c r="O15" s="1431"/>
      <c r="P15" s="1432">
        <v>11340</v>
      </c>
      <c r="Q15" s="1433">
        <v>4.5</v>
      </c>
      <c r="R15" s="1433">
        <v>0.5</v>
      </c>
      <c r="S15" s="1434">
        <v>0.5</v>
      </c>
      <c r="T15" s="1433">
        <v>44</v>
      </c>
      <c r="U15" s="1425"/>
      <c r="V15" s="1425"/>
      <c r="W15" s="1425"/>
      <c r="X15" s="1425"/>
    </row>
    <row r="16" spans="1:24" ht="18" customHeight="1">
      <c r="A16" s="1204"/>
      <c r="B16" s="1205"/>
      <c r="C16" s="1205"/>
      <c r="D16" s="1211"/>
      <c r="E16" s="1212"/>
      <c r="F16" s="1212"/>
      <c r="G16" s="1214"/>
      <c r="H16" s="683"/>
      <c r="I16" s="1940"/>
      <c r="J16" s="590"/>
      <c r="K16" s="1315" t="s">
        <v>1515</v>
      </c>
      <c r="L16" s="1314" t="s">
        <v>464</v>
      </c>
      <c r="M16" s="666">
        <v>4082</v>
      </c>
      <c r="N16" s="1503"/>
      <c r="O16" s="1431"/>
      <c r="P16" s="1432">
        <v>11340</v>
      </c>
      <c r="Q16" s="1433">
        <v>4.5</v>
      </c>
      <c r="R16" s="1434">
        <v>8</v>
      </c>
      <c r="S16" s="1433">
        <v>10</v>
      </c>
      <c r="T16" s="1433"/>
      <c r="U16" s="1425"/>
      <c r="V16" s="1425"/>
      <c r="W16" s="1425"/>
      <c r="X16" s="1425"/>
    </row>
    <row r="17" spans="1:24" ht="18" customHeight="1">
      <c r="A17" s="1204"/>
      <c r="B17" s="1205"/>
      <c r="C17" s="1205"/>
      <c r="D17" s="1211"/>
      <c r="E17" s="1212"/>
      <c r="F17" s="1212"/>
      <c r="G17" s="1214"/>
      <c r="H17" s="683"/>
      <c r="I17" s="1940"/>
      <c r="J17" s="590"/>
      <c r="K17" s="1315" t="s">
        <v>1516</v>
      </c>
      <c r="L17" s="1314" t="s">
        <v>464</v>
      </c>
      <c r="M17" s="666">
        <v>17963</v>
      </c>
      <c r="N17" s="1503"/>
      <c r="O17" s="1431"/>
      <c r="P17" s="1432">
        <v>11340</v>
      </c>
      <c r="Q17" s="1433">
        <v>4.5</v>
      </c>
      <c r="R17" s="1433">
        <v>8</v>
      </c>
      <c r="S17" s="1433">
        <v>44</v>
      </c>
      <c r="T17" s="1433"/>
      <c r="U17" s="1425"/>
      <c r="V17" s="1425"/>
      <c r="W17" s="1425"/>
      <c r="X17" s="1425"/>
    </row>
    <row r="18" spans="1:24" ht="18" customHeight="1">
      <c r="A18" s="1204"/>
      <c r="B18" s="1205"/>
      <c r="C18" s="1205"/>
      <c r="D18" s="1211"/>
      <c r="E18" s="1212"/>
      <c r="F18" s="1212"/>
      <c r="G18" s="1214"/>
      <c r="H18" s="683"/>
      <c r="I18" s="1940"/>
      <c r="J18" s="590"/>
      <c r="K18" s="1315" t="s">
        <v>1517</v>
      </c>
      <c r="L18" s="1314" t="s">
        <v>464</v>
      </c>
      <c r="M18" s="666">
        <v>500</v>
      </c>
      <c r="N18" s="1503"/>
      <c r="O18" s="1431"/>
      <c r="P18" s="1432">
        <v>50000</v>
      </c>
      <c r="Q18" s="1433">
        <v>1</v>
      </c>
      <c r="R18" s="1433">
        <v>10</v>
      </c>
      <c r="S18" s="1433"/>
      <c r="T18" s="1433"/>
      <c r="U18" s="1425"/>
      <c r="V18" s="1425"/>
      <c r="W18" s="1425"/>
      <c r="X18" s="1425"/>
    </row>
    <row r="19" spans="1:24" ht="18" customHeight="1">
      <c r="A19" s="1204"/>
      <c r="B19" s="1205"/>
      <c r="C19" s="1205"/>
      <c r="D19" s="1211"/>
      <c r="E19" s="1212"/>
      <c r="F19" s="1212"/>
      <c r="G19" s="1214"/>
      <c r="H19" s="1862"/>
      <c r="I19" s="1941"/>
      <c r="J19" s="590"/>
      <c r="K19" s="1546" t="s">
        <v>1518</v>
      </c>
      <c r="L19" s="1316" t="s">
        <v>464</v>
      </c>
      <c r="M19" s="1078">
        <v>1000</v>
      </c>
      <c r="N19" s="1503" t="s">
        <v>1756</v>
      </c>
      <c r="O19" s="1431"/>
      <c r="P19" s="1432">
        <v>50000</v>
      </c>
      <c r="Q19" s="1433">
        <v>2</v>
      </c>
      <c r="R19" s="1433">
        <v>10</v>
      </c>
      <c r="S19" s="1433"/>
      <c r="T19" s="1433"/>
      <c r="U19" s="1425"/>
      <c r="V19" s="1425"/>
      <c r="W19" s="1425"/>
      <c r="X19" s="1425"/>
    </row>
    <row r="20" spans="1:24" ht="18" customHeight="1">
      <c r="A20" s="340"/>
      <c r="B20" s="344"/>
      <c r="C20" s="347"/>
      <c r="D20" s="347"/>
      <c r="E20" s="342" t="s">
        <v>1484</v>
      </c>
      <c r="F20" s="342"/>
      <c r="G20" s="343"/>
      <c r="H20" s="1866">
        <f>H21+H82+H86+H89</f>
        <v>898257</v>
      </c>
      <c r="I20" s="1942">
        <v>802287</v>
      </c>
      <c r="J20" s="1185">
        <f>H20-I20</f>
        <v>95970</v>
      </c>
      <c r="K20" s="1308"/>
      <c r="L20" s="1309"/>
      <c r="M20" s="666"/>
      <c r="N20" s="2141"/>
      <c r="O20" s="609"/>
      <c r="P20" s="610"/>
      <c r="Q20" s="1426"/>
      <c r="R20" s="1426"/>
      <c r="S20" s="1426"/>
      <c r="T20" s="1429"/>
      <c r="U20" s="387"/>
      <c r="V20" s="389"/>
      <c r="W20" s="389"/>
      <c r="X20" s="389"/>
    </row>
    <row r="21" spans="1:24" ht="18" customHeight="1">
      <c r="A21" s="1204"/>
      <c r="B21" s="1205"/>
      <c r="C21" s="1205"/>
      <c r="D21" s="1205"/>
      <c r="E21" s="1215"/>
      <c r="F21" s="1209" t="s">
        <v>402</v>
      </c>
      <c r="G21" s="1216"/>
      <c r="H21" s="1868">
        <f>H22+H35+H37+H62+H66+H72</f>
        <v>819357</v>
      </c>
      <c r="I21" s="1943">
        <v>767007</v>
      </c>
      <c r="J21" s="597">
        <f>H21-I21</f>
        <v>52350</v>
      </c>
      <c r="K21" s="1547"/>
      <c r="L21" s="1311"/>
      <c r="M21" s="1534"/>
      <c r="N21" s="2143"/>
      <c r="O21" s="1435"/>
      <c r="P21" s="1436"/>
      <c r="Q21" s="1436"/>
      <c r="R21" s="1436"/>
      <c r="S21" s="1436"/>
      <c r="T21" s="1436"/>
      <c r="U21" s="1436"/>
      <c r="V21" s="1436"/>
      <c r="W21" s="1436"/>
      <c r="X21" s="1436"/>
    </row>
    <row r="22" spans="1:24" ht="18" customHeight="1">
      <c r="A22" s="1204"/>
      <c r="B22" s="1205"/>
      <c r="C22" s="1205"/>
      <c r="D22" s="1205"/>
      <c r="E22" s="1205"/>
      <c r="F22" s="1205"/>
      <c r="G22" s="1205" t="s">
        <v>403</v>
      </c>
      <c r="H22" s="1862">
        <f>M22</f>
        <v>19642</v>
      </c>
      <c r="I22" s="1943">
        <v>21658</v>
      </c>
      <c r="J22" s="590">
        <f>H22-I22</f>
        <v>-2016</v>
      </c>
      <c r="K22" s="1317" t="s">
        <v>989</v>
      </c>
      <c r="L22" s="1318"/>
      <c r="M22" s="1827">
        <f>M23+M24+M25+M26+M27+M28+M29+M30+M31+M32+M33+M34</f>
        <v>19642</v>
      </c>
      <c r="N22" s="1543"/>
      <c r="O22" s="1436"/>
      <c r="P22" s="1436"/>
      <c r="Q22" s="1436"/>
      <c r="R22" s="1436"/>
      <c r="S22" s="1436"/>
      <c r="T22" s="1436"/>
      <c r="U22" s="1436"/>
      <c r="V22" s="1436"/>
      <c r="W22" s="1436"/>
      <c r="X22" s="1436"/>
    </row>
    <row r="23" spans="1:24" ht="18" customHeight="1">
      <c r="A23" s="1204"/>
      <c r="B23" s="1205"/>
      <c r="C23" s="1205"/>
      <c r="D23" s="1211"/>
      <c r="E23" s="1211"/>
      <c r="F23" s="1211"/>
      <c r="G23" s="1211"/>
      <c r="H23" s="1862"/>
      <c r="I23" s="1941"/>
      <c r="J23" s="590"/>
      <c r="K23" s="1540" t="s">
        <v>1519</v>
      </c>
      <c r="L23" s="1316" t="s">
        <v>464</v>
      </c>
      <c r="M23" s="666">
        <v>676</v>
      </c>
      <c r="N23" s="1508" t="s">
        <v>1757</v>
      </c>
      <c r="O23" s="1436"/>
      <c r="P23" s="1437">
        <v>26000</v>
      </c>
      <c r="Q23" s="1437">
        <v>26</v>
      </c>
      <c r="R23" s="1437"/>
      <c r="S23" s="1436"/>
      <c r="T23" s="1436"/>
      <c r="U23" s="1436"/>
      <c r="V23" s="1436"/>
      <c r="W23" s="1436"/>
      <c r="X23" s="1436"/>
    </row>
    <row r="24" spans="1:24" ht="18" customHeight="1">
      <c r="A24" s="1204"/>
      <c r="B24" s="1205"/>
      <c r="C24" s="1205"/>
      <c r="D24" s="1211"/>
      <c r="E24" s="1211"/>
      <c r="F24" s="1211"/>
      <c r="G24" s="1211"/>
      <c r="H24" s="1862"/>
      <c r="I24" s="1941"/>
      <c r="J24" s="590"/>
      <c r="K24" s="1540" t="s">
        <v>1520</v>
      </c>
      <c r="L24" s="1319" t="s">
        <v>464</v>
      </c>
      <c r="M24" s="666">
        <v>800</v>
      </c>
      <c r="N24" s="1509" t="s">
        <v>1758</v>
      </c>
      <c r="O24" s="1436"/>
      <c r="P24" s="1438">
        <v>400</v>
      </c>
      <c r="Q24" s="1438">
        <v>2000</v>
      </c>
      <c r="R24" s="1438"/>
      <c r="S24" s="1436"/>
      <c r="T24" s="1436"/>
      <c r="U24" s="1436"/>
      <c r="V24" s="1436"/>
      <c r="W24" s="1436"/>
      <c r="X24" s="1436"/>
    </row>
    <row r="25" spans="1:24" ht="18" customHeight="1">
      <c r="A25" s="1204"/>
      <c r="B25" s="1205"/>
      <c r="C25" s="1205"/>
      <c r="D25" s="1211"/>
      <c r="E25" s="1211"/>
      <c r="F25" s="1211"/>
      <c r="G25" s="1211"/>
      <c r="H25" s="1862"/>
      <c r="I25" s="1941"/>
      <c r="J25" s="590"/>
      <c r="K25" s="1540" t="s">
        <v>1521</v>
      </c>
      <c r="L25" s="1319" t="s">
        <v>464</v>
      </c>
      <c r="M25" s="666">
        <v>630</v>
      </c>
      <c r="N25" s="1509" t="s">
        <v>1759</v>
      </c>
      <c r="O25" s="1436"/>
      <c r="P25" s="1439">
        <v>45000</v>
      </c>
      <c r="Q25" s="1438">
        <v>14</v>
      </c>
      <c r="R25" s="1438">
        <v>1</v>
      </c>
      <c r="S25" s="1436"/>
      <c r="T25" s="1436"/>
      <c r="U25" s="1436"/>
      <c r="V25" s="1436"/>
      <c r="W25" s="1436"/>
      <c r="X25" s="1436"/>
    </row>
    <row r="26" spans="1:24" ht="18" customHeight="1">
      <c r="A26" s="1204"/>
      <c r="B26" s="1205"/>
      <c r="C26" s="1205"/>
      <c r="D26" s="1211"/>
      <c r="E26" s="1211"/>
      <c r="F26" s="1211"/>
      <c r="G26" s="1211"/>
      <c r="H26" s="1862"/>
      <c r="I26" s="1941"/>
      <c r="J26" s="590"/>
      <c r="K26" s="1540" t="s">
        <v>1522</v>
      </c>
      <c r="L26" s="1319" t="s">
        <v>464</v>
      </c>
      <c r="M26" s="666">
        <v>540</v>
      </c>
      <c r="N26" s="1509" t="s">
        <v>1760</v>
      </c>
      <c r="O26" s="1436"/>
      <c r="P26" s="1438">
        <v>45000</v>
      </c>
      <c r="Q26" s="1438">
        <v>12</v>
      </c>
      <c r="R26" s="1438">
        <v>1</v>
      </c>
      <c r="S26" s="1436"/>
      <c r="T26" s="1436"/>
      <c r="U26" s="1436"/>
      <c r="V26" s="1436"/>
      <c r="W26" s="1436"/>
      <c r="X26" s="1436"/>
    </row>
    <row r="27" spans="1:24" ht="18" customHeight="1">
      <c r="A27" s="1204"/>
      <c r="B27" s="1205"/>
      <c r="C27" s="1205"/>
      <c r="D27" s="1211"/>
      <c r="E27" s="1211"/>
      <c r="F27" s="1211"/>
      <c r="G27" s="1211"/>
      <c r="H27" s="1862"/>
      <c r="I27" s="1941"/>
      <c r="J27" s="590"/>
      <c r="K27" s="1540" t="s">
        <v>1523</v>
      </c>
      <c r="L27" s="1319" t="s">
        <v>464</v>
      </c>
      <c r="M27" s="666">
        <v>2400</v>
      </c>
      <c r="N27" s="1509" t="s">
        <v>1761</v>
      </c>
      <c r="O27" s="1436"/>
      <c r="P27" s="1438">
        <v>200000</v>
      </c>
      <c r="Q27" s="1438">
        <v>12</v>
      </c>
      <c r="R27" s="1438"/>
      <c r="S27" s="1436"/>
      <c r="T27" s="1436"/>
      <c r="U27" s="1436"/>
      <c r="V27" s="1436"/>
      <c r="W27" s="1436"/>
      <c r="X27" s="1436"/>
    </row>
    <row r="28" spans="1:24" ht="18" customHeight="1">
      <c r="A28" s="1204"/>
      <c r="B28" s="1205"/>
      <c r="C28" s="1205"/>
      <c r="D28" s="1211"/>
      <c r="E28" s="1211"/>
      <c r="F28" s="1211"/>
      <c r="G28" s="1211"/>
      <c r="H28" s="1862"/>
      <c r="I28" s="1941"/>
      <c r="J28" s="590"/>
      <c r="K28" s="1540" t="s">
        <v>1524</v>
      </c>
      <c r="L28" s="1319" t="s">
        <v>464</v>
      </c>
      <c r="M28" s="666">
        <v>500</v>
      </c>
      <c r="N28" s="1509" t="s">
        <v>1762</v>
      </c>
      <c r="O28" s="1436"/>
      <c r="P28" s="1438">
        <v>250000</v>
      </c>
      <c r="Q28" s="1438">
        <v>2</v>
      </c>
      <c r="R28" s="1438"/>
      <c r="S28" s="1436"/>
      <c r="T28" s="1436"/>
      <c r="U28" s="1436"/>
      <c r="V28" s="1436"/>
      <c r="W28" s="1436"/>
      <c r="X28" s="1436"/>
    </row>
    <row r="29" spans="1:24" ht="18" customHeight="1">
      <c r="A29" s="1204"/>
      <c r="B29" s="1205"/>
      <c r="C29" s="1205"/>
      <c r="D29" s="1211"/>
      <c r="E29" s="1211"/>
      <c r="F29" s="1211"/>
      <c r="G29" s="1211"/>
      <c r="H29" s="1862"/>
      <c r="I29" s="1941"/>
      <c r="J29" s="590"/>
      <c r="K29" s="1540" t="s">
        <v>1525</v>
      </c>
      <c r="L29" s="1319" t="s">
        <v>464</v>
      </c>
      <c r="M29" s="666">
        <v>1440</v>
      </c>
      <c r="N29" s="1509" t="s">
        <v>1763</v>
      </c>
      <c r="O29" s="1440"/>
      <c r="P29" s="1441">
        <v>1200</v>
      </c>
      <c r="Q29" s="1441">
        <v>100</v>
      </c>
      <c r="R29" s="1441">
        <v>12</v>
      </c>
      <c r="S29" s="1440"/>
      <c r="T29" s="1440"/>
      <c r="U29" s="1440"/>
      <c r="V29" s="1440"/>
      <c r="W29" s="1440"/>
      <c r="X29" s="1440"/>
    </row>
    <row r="30" spans="1:24" ht="18" customHeight="1">
      <c r="A30" s="1204"/>
      <c r="B30" s="1205"/>
      <c r="C30" s="1205"/>
      <c r="D30" s="1211"/>
      <c r="E30" s="1211"/>
      <c r="F30" s="1211"/>
      <c r="G30" s="1211"/>
      <c r="H30" s="1862"/>
      <c r="I30" s="1941"/>
      <c r="J30" s="590"/>
      <c r="K30" s="1540" t="s">
        <v>1526</v>
      </c>
      <c r="L30" s="1319" t="s">
        <v>464</v>
      </c>
      <c r="M30" s="666">
        <v>1400</v>
      </c>
      <c r="N30" s="1509" t="s">
        <v>1764</v>
      </c>
      <c r="O30" s="1436"/>
      <c r="P30" s="1438">
        <v>700000</v>
      </c>
      <c r="Q30" s="1438">
        <v>2</v>
      </c>
      <c r="R30" s="1438"/>
      <c r="S30" s="1436"/>
      <c r="T30" s="1436"/>
      <c r="U30" s="1436"/>
      <c r="V30" s="1436"/>
      <c r="W30" s="1436"/>
      <c r="X30" s="1436"/>
    </row>
    <row r="31" spans="1:24" ht="18" customHeight="1">
      <c r="A31" s="1204"/>
      <c r="B31" s="1205"/>
      <c r="C31" s="1205"/>
      <c r="D31" s="1211"/>
      <c r="E31" s="1211"/>
      <c r="F31" s="1211"/>
      <c r="G31" s="1211"/>
      <c r="H31" s="1862"/>
      <c r="I31" s="1941"/>
      <c r="J31" s="590"/>
      <c r="K31" s="1540" t="s">
        <v>1527</v>
      </c>
      <c r="L31" s="1319" t="s">
        <v>464</v>
      </c>
      <c r="M31" s="666">
        <v>9000</v>
      </c>
      <c r="N31" s="1509" t="s">
        <v>1765</v>
      </c>
      <c r="O31" s="1436"/>
      <c r="P31" s="1438">
        <v>750000</v>
      </c>
      <c r="Q31" s="1438">
        <v>12</v>
      </c>
      <c r="R31" s="1438"/>
      <c r="S31" s="1436"/>
      <c r="T31" s="1436"/>
      <c r="U31" s="1436"/>
      <c r="V31" s="1436"/>
      <c r="W31" s="1436"/>
      <c r="X31" s="1436"/>
    </row>
    <row r="32" spans="1:24" ht="18" customHeight="1">
      <c r="A32" s="1204"/>
      <c r="B32" s="1205"/>
      <c r="C32" s="1205"/>
      <c r="D32" s="1211"/>
      <c r="E32" s="1211"/>
      <c r="F32" s="1211"/>
      <c r="G32" s="1211"/>
      <c r="H32" s="1862"/>
      <c r="I32" s="1941"/>
      <c r="J32" s="590"/>
      <c r="K32" s="1540" t="s">
        <v>1528</v>
      </c>
      <c r="L32" s="1319" t="s">
        <v>464</v>
      </c>
      <c r="M32" s="666">
        <v>600</v>
      </c>
      <c r="N32" s="1509" t="s">
        <v>1766</v>
      </c>
      <c r="O32" s="1436"/>
      <c r="P32" s="1438">
        <v>50000</v>
      </c>
      <c r="Q32" s="1438">
        <v>12</v>
      </c>
      <c r="R32" s="1438"/>
      <c r="S32" s="1436"/>
      <c r="T32" s="1436"/>
      <c r="U32" s="1436"/>
      <c r="V32" s="1436"/>
      <c r="W32" s="1436"/>
      <c r="X32" s="1436"/>
    </row>
    <row r="33" spans="1:24" ht="18" customHeight="1">
      <c r="A33" s="1204"/>
      <c r="B33" s="1205"/>
      <c r="C33" s="1205"/>
      <c r="D33" s="1211"/>
      <c r="E33" s="1211"/>
      <c r="F33" s="1211"/>
      <c r="G33" s="1211"/>
      <c r="H33" s="1862"/>
      <c r="I33" s="1941"/>
      <c r="J33" s="590"/>
      <c r="K33" s="1540" t="s">
        <v>1529</v>
      </c>
      <c r="L33" s="1319" t="s">
        <v>464</v>
      </c>
      <c r="M33" s="666">
        <v>1056</v>
      </c>
      <c r="N33" s="1509" t="s">
        <v>1767</v>
      </c>
      <c r="O33" s="1436"/>
      <c r="P33" s="1438">
        <v>66000</v>
      </c>
      <c r="Q33" s="1438">
        <v>2</v>
      </c>
      <c r="R33" s="1438">
        <v>8</v>
      </c>
      <c r="S33" s="1436"/>
      <c r="T33" s="1436"/>
      <c r="U33" s="1436"/>
      <c r="V33" s="1436"/>
      <c r="W33" s="1436"/>
      <c r="X33" s="1436"/>
    </row>
    <row r="34" spans="1:24" ht="18" customHeight="1">
      <c r="A34" s="1204"/>
      <c r="B34" s="1205"/>
      <c r="C34" s="1205"/>
      <c r="D34" s="1211"/>
      <c r="E34" s="1211"/>
      <c r="F34" s="1211"/>
      <c r="G34" s="1217"/>
      <c r="H34" s="1864"/>
      <c r="I34" s="1944"/>
      <c r="J34" s="595"/>
      <c r="K34" s="1548" t="s">
        <v>1530</v>
      </c>
      <c r="L34" s="1319" t="s">
        <v>464</v>
      </c>
      <c r="M34" s="666">
        <v>600</v>
      </c>
      <c r="N34" s="1509" t="s">
        <v>1768</v>
      </c>
      <c r="O34" s="1436"/>
      <c r="P34" s="1438">
        <v>200000</v>
      </c>
      <c r="Q34" s="1438">
        <v>3</v>
      </c>
      <c r="R34" s="1438"/>
      <c r="S34" s="1436"/>
      <c r="T34" s="1436"/>
      <c r="U34" s="1436"/>
      <c r="V34" s="1436"/>
      <c r="W34" s="1436"/>
      <c r="X34" s="1436"/>
    </row>
    <row r="35" spans="1:24" ht="18" customHeight="1">
      <c r="A35" s="1204"/>
      <c r="B35" s="1205"/>
      <c r="C35" s="1205"/>
      <c r="D35" s="1211"/>
      <c r="E35" s="1211"/>
      <c r="F35" s="1211"/>
      <c r="G35" s="1205" t="s">
        <v>1004</v>
      </c>
      <c r="H35" s="1862">
        <f>M35</f>
        <v>750</v>
      </c>
      <c r="I35" s="1941">
        <v>0</v>
      </c>
      <c r="J35" s="590">
        <f>H35-I35</f>
        <v>750</v>
      </c>
      <c r="K35" s="1321" t="s">
        <v>1004</v>
      </c>
      <c r="L35" s="1549"/>
      <c r="M35" s="1827">
        <f>M36</f>
        <v>750</v>
      </c>
      <c r="N35" s="1509"/>
      <c r="O35" s="1436"/>
      <c r="P35" s="1439"/>
      <c r="Q35" s="1438"/>
      <c r="R35" s="1438"/>
      <c r="S35" s="1436"/>
      <c r="T35" s="1436"/>
      <c r="U35" s="1436"/>
      <c r="V35" s="1436"/>
      <c r="W35" s="1436"/>
      <c r="X35" s="1436"/>
    </row>
    <row r="36" spans="1:24" ht="18" customHeight="1">
      <c r="A36" s="1204"/>
      <c r="B36" s="1205"/>
      <c r="C36" s="1205"/>
      <c r="D36" s="1211"/>
      <c r="E36" s="1211"/>
      <c r="F36" s="1211"/>
      <c r="G36" s="1211"/>
      <c r="H36" s="1862"/>
      <c r="I36" s="1941"/>
      <c r="J36" s="590"/>
      <c r="K36" s="1548" t="s">
        <v>1531</v>
      </c>
      <c r="L36" s="1320" t="s">
        <v>464</v>
      </c>
      <c r="M36" s="666">
        <v>750</v>
      </c>
      <c r="N36" s="1509" t="s">
        <v>1769</v>
      </c>
      <c r="O36" s="1436"/>
      <c r="P36" s="1439">
        <v>250000</v>
      </c>
      <c r="Q36" s="1438">
        <v>3</v>
      </c>
      <c r="R36" s="1438"/>
      <c r="S36" s="1436"/>
      <c r="T36" s="1436"/>
      <c r="U36" s="1436"/>
      <c r="V36" s="1436"/>
      <c r="W36" s="1436"/>
      <c r="X36" s="1436"/>
    </row>
    <row r="37" spans="1:24" ht="18" customHeight="1">
      <c r="A37" s="1204"/>
      <c r="B37" s="1205"/>
      <c r="C37" s="1205"/>
      <c r="D37" s="1205"/>
      <c r="E37" s="1205"/>
      <c r="F37" s="1205"/>
      <c r="G37" s="1218" t="s">
        <v>406</v>
      </c>
      <c r="H37" s="1876">
        <f>M37</f>
        <v>131444</v>
      </c>
      <c r="I37" s="1943">
        <v>123460</v>
      </c>
      <c r="J37" s="594">
        <f>H37-I37</f>
        <v>7984</v>
      </c>
      <c r="K37" s="1317" t="s">
        <v>406</v>
      </c>
      <c r="L37" s="1318"/>
      <c r="M37" s="1827">
        <f>M38+M39+M40+M41+M42+M43+M44+M45+M46+M47+M48+M49+M50+M51+M52+M53+M54+M55+M56+M57+M58+M59+M60+M61</f>
        <v>131444</v>
      </c>
      <c r="N37" s="2144"/>
      <c r="O37" s="1436"/>
      <c r="P37" s="1442"/>
      <c r="Q37" s="1443"/>
      <c r="R37" s="1443"/>
      <c r="S37" s="1436"/>
      <c r="T37" s="1436"/>
      <c r="U37" s="1436"/>
      <c r="V37" s="1436"/>
      <c r="W37" s="1436"/>
      <c r="X37" s="1436"/>
    </row>
    <row r="38" spans="1:24" ht="18" customHeight="1">
      <c r="A38" s="1204"/>
      <c r="B38" s="1205"/>
      <c r="C38" s="1205"/>
      <c r="D38" s="1211"/>
      <c r="E38" s="1211"/>
      <c r="F38" s="1211"/>
      <c r="G38" s="1211"/>
      <c r="H38" s="1862"/>
      <c r="I38" s="1941"/>
      <c r="J38" s="590"/>
      <c r="K38" s="1327" t="s">
        <v>1532</v>
      </c>
      <c r="L38" s="1319" t="s">
        <v>464</v>
      </c>
      <c r="M38" s="666">
        <v>4000</v>
      </c>
      <c r="N38" s="1510" t="s">
        <v>1770</v>
      </c>
      <c r="O38" s="1436"/>
      <c r="P38" s="1444">
        <v>2000000</v>
      </c>
      <c r="Q38" s="1445">
        <v>2</v>
      </c>
      <c r="R38" s="1445"/>
      <c r="S38" s="1436"/>
      <c r="T38" s="1436"/>
      <c r="U38" s="1436"/>
      <c r="V38" s="1436"/>
      <c r="W38" s="1436"/>
      <c r="X38" s="1436"/>
    </row>
    <row r="39" spans="1:24" ht="18" customHeight="1">
      <c r="A39" s="1204"/>
      <c r="B39" s="1205"/>
      <c r="C39" s="1205"/>
      <c r="D39" s="1211"/>
      <c r="E39" s="1211"/>
      <c r="F39" s="1211"/>
      <c r="G39" s="1211"/>
      <c r="H39" s="683"/>
      <c r="I39" s="1940"/>
      <c r="J39" s="845"/>
      <c r="K39" s="1322" t="s">
        <v>1533</v>
      </c>
      <c r="L39" s="1323" t="s">
        <v>464</v>
      </c>
      <c r="M39" s="666">
        <v>2000</v>
      </c>
      <c r="N39" s="1510" t="s">
        <v>1771</v>
      </c>
      <c r="O39" s="1436"/>
      <c r="P39" s="1444">
        <v>500000</v>
      </c>
      <c r="Q39" s="1445">
        <v>4</v>
      </c>
      <c r="R39" s="1445"/>
      <c r="S39" s="1436"/>
      <c r="T39" s="1436"/>
      <c r="U39" s="1436"/>
      <c r="V39" s="1436"/>
      <c r="W39" s="1436"/>
      <c r="X39" s="1436"/>
    </row>
    <row r="40" spans="1:24" ht="18" customHeight="1">
      <c r="A40" s="1204"/>
      <c r="B40" s="1205"/>
      <c r="C40" s="1205"/>
      <c r="D40" s="1211"/>
      <c r="E40" s="1211"/>
      <c r="F40" s="1211"/>
      <c r="G40" s="1211"/>
      <c r="H40" s="683"/>
      <c r="I40" s="1940"/>
      <c r="J40" s="845"/>
      <c r="K40" s="1322" t="s">
        <v>1534</v>
      </c>
      <c r="L40" s="1319" t="s">
        <v>464</v>
      </c>
      <c r="M40" s="666">
        <v>4400</v>
      </c>
      <c r="N40" s="1511" t="s">
        <v>1772</v>
      </c>
      <c r="O40" s="1436"/>
      <c r="P40" s="1444">
        <v>880000</v>
      </c>
      <c r="Q40" s="1445">
        <v>5</v>
      </c>
      <c r="R40" s="1445"/>
      <c r="S40" s="1436"/>
      <c r="T40" s="1436"/>
      <c r="U40" s="1436"/>
      <c r="V40" s="1436"/>
      <c r="W40" s="1436"/>
      <c r="X40" s="1436"/>
    </row>
    <row r="41" spans="1:24" ht="18" customHeight="1">
      <c r="A41" s="1204"/>
      <c r="B41" s="1205"/>
      <c r="C41" s="1205"/>
      <c r="D41" s="1211"/>
      <c r="E41" s="1211"/>
      <c r="F41" s="1211"/>
      <c r="G41" s="1211"/>
      <c r="H41" s="683"/>
      <c r="I41" s="1940"/>
      <c r="J41" s="845"/>
      <c r="K41" s="1322" t="s">
        <v>1535</v>
      </c>
      <c r="L41" s="1319" t="s">
        <v>464</v>
      </c>
      <c r="M41" s="666">
        <v>500</v>
      </c>
      <c r="N41" s="1510" t="s">
        <v>1773</v>
      </c>
      <c r="O41" s="1436"/>
      <c r="P41" s="1444">
        <v>500000</v>
      </c>
      <c r="Q41" s="1445">
        <v>1</v>
      </c>
      <c r="R41" s="1445"/>
      <c r="S41" s="1436"/>
      <c r="T41" s="1436"/>
      <c r="U41" s="1436"/>
      <c r="V41" s="1436"/>
      <c r="W41" s="1436"/>
      <c r="X41" s="1436"/>
    </row>
    <row r="42" spans="1:24" ht="18" customHeight="1">
      <c r="A42" s="1204"/>
      <c r="B42" s="1205"/>
      <c r="C42" s="1205"/>
      <c r="D42" s="1211"/>
      <c r="E42" s="1211"/>
      <c r="F42" s="1211"/>
      <c r="G42" s="1211"/>
      <c r="H42" s="683"/>
      <c r="I42" s="1940"/>
      <c r="J42" s="845"/>
      <c r="K42" s="1322" t="s">
        <v>1536</v>
      </c>
      <c r="L42" s="1319" t="s">
        <v>464</v>
      </c>
      <c r="M42" s="666">
        <v>200</v>
      </c>
      <c r="N42" s="1510" t="s">
        <v>1774</v>
      </c>
      <c r="O42" s="1436"/>
      <c r="P42" s="1444">
        <v>50000</v>
      </c>
      <c r="Q42" s="1445">
        <v>4</v>
      </c>
      <c r="R42" s="1445"/>
      <c r="S42" s="1436"/>
      <c r="T42" s="1436"/>
      <c r="U42" s="1436"/>
      <c r="V42" s="1436"/>
      <c r="W42" s="1436"/>
      <c r="X42" s="1436"/>
    </row>
    <row r="43" spans="1:24" ht="18" customHeight="1">
      <c r="A43" s="1204"/>
      <c r="B43" s="1205"/>
      <c r="C43" s="1205"/>
      <c r="D43" s="1211"/>
      <c r="E43" s="1211"/>
      <c r="F43" s="1211"/>
      <c r="G43" s="1211"/>
      <c r="H43" s="683"/>
      <c r="I43" s="1940"/>
      <c r="J43" s="845"/>
      <c r="K43" s="1322" t="s">
        <v>1537</v>
      </c>
      <c r="L43" s="1319" t="s">
        <v>464</v>
      </c>
      <c r="M43" s="666">
        <v>1200</v>
      </c>
      <c r="N43" s="1511" t="s">
        <v>1775</v>
      </c>
      <c r="O43" s="1436"/>
      <c r="P43" s="1444">
        <v>1200000</v>
      </c>
      <c r="Q43" s="1445">
        <v>1</v>
      </c>
      <c r="R43" s="1445"/>
      <c r="S43" s="1436"/>
      <c r="T43" s="1436"/>
      <c r="U43" s="1436"/>
      <c r="V43" s="1436"/>
      <c r="W43" s="1436"/>
      <c r="X43" s="1436"/>
    </row>
    <row r="44" spans="1:24" ht="18" customHeight="1">
      <c r="A44" s="1204"/>
      <c r="B44" s="1205"/>
      <c r="C44" s="1205"/>
      <c r="D44" s="1211"/>
      <c r="E44" s="1212"/>
      <c r="F44" s="1212"/>
      <c r="G44" s="1212"/>
      <c r="H44" s="683"/>
      <c r="I44" s="1940"/>
      <c r="J44" s="845"/>
      <c r="K44" s="1322" t="s">
        <v>1538</v>
      </c>
      <c r="L44" s="1319" t="s">
        <v>464</v>
      </c>
      <c r="M44" s="666">
        <v>10500</v>
      </c>
      <c r="N44" s="1508" t="s">
        <v>1776</v>
      </c>
      <c r="O44" s="1446"/>
      <c r="P44" s="1447">
        <v>5250000</v>
      </c>
      <c r="Q44" s="1010">
        <v>2</v>
      </c>
      <c r="R44" s="1010"/>
      <c r="S44" s="1446"/>
      <c r="T44" s="1446"/>
      <c r="U44" s="1446"/>
      <c r="V44" s="1446"/>
      <c r="W44" s="1446"/>
      <c r="X44" s="1446"/>
    </row>
    <row r="45" spans="1:24" ht="18" customHeight="1">
      <c r="A45" s="1204"/>
      <c r="B45" s="1205"/>
      <c r="C45" s="1205"/>
      <c r="D45" s="1211"/>
      <c r="E45" s="1212"/>
      <c r="F45" s="1212"/>
      <c r="G45" s="1212"/>
      <c r="H45" s="683"/>
      <c r="I45" s="1940"/>
      <c r="J45" s="845"/>
      <c r="K45" s="1324" t="s">
        <v>1539</v>
      </c>
      <c r="L45" s="1319" t="s">
        <v>464</v>
      </c>
      <c r="M45" s="666">
        <v>4500</v>
      </c>
      <c r="N45" s="1510" t="s">
        <v>1777</v>
      </c>
      <c r="O45" s="1446"/>
      <c r="P45" s="1447">
        <v>4500000</v>
      </c>
      <c r="Q45" s="1010">
        <v>1</v>
      </c>
      <c r="R45" s="1010"/>
      <c r="S45" s="1446"/>
      <c r="T45" s="1446"/>
      <c r="U45" s="1446"/>
      <c r="V45" s="1446"/>
      <c r="W45" s="1446"/>
      <c r="X45" s="1446"/>
    </row>
    <row r="46" spans="1:24" ht="18" customHeight="1">
      <c r="A46" s="1219"/>
      <c r="B46" s="1220"/>
      <c r="C46" s="1220"/>
      <c r="D46" s="1221"/>
      <c r="E46" s="1222"/>
      <c r="F46" s="1222"/>
      <c r="G46" s="1222"/>
      <c r="H46" s="683"/>
      <c r="I46" s="1940"/>
      <c r="J46" s="845"/>
      <c r="K46" s="1324" t="s">
        <v>1540</v>
      </c>
      <c r="L46" s="1042" t="s">
        <v>464</v>
      </c>
      <c r="M46" s="666">
        <v>2000</v>
      </c>
      <c r="N46" s="1510" t="s">
        <v>1778</v>
      </c>
      <c r="O46" s="1448"/>
      <c r="P46" s="1444">
        <v>1000000</v>
      </c>
      <c r="Q46" s="1445">
        <v>2</v>
      </c>
      <c r="R46" s="1445"/>
      <c r="S46" s="1448"/>
      <c r="T46" s="1448"/>
      <c r="U46" s="1448"/>
      <c r="V46" s="1448"/>
      <c r="W46" s="1448"/>
      <c r="X46" s="1448"/>
    </row>
    <row r="47" spans="1:24" ht="18" customHeight="1">
      <c r="A47" s="1204"/>
      <c r="B47" s="1205"/>
      <c r="C47" s="1205"/>
      <c r="D47" s="1211"/>
      <c r="E47" s="1212"/>
      <c r="F47" s="1212"/>
      <c r="G47" s="1212"/>
      <c r="H47" s="683"/>
      <c r="I47" s="1940"/>
      <c r="J47" s="845"/>
      <c r="K47" s="1324" t="s">
        <v>1541</v>
      </c>
      <c r="L47" s="1042" t="s">
        <v>464</v>
      </c>
      <c r="M47" s="666">
        <v>140</v>
      </c>
      <c r="N47" s="1510" t="s">
        <v>1779</v>
      </c>
      <c r="O47" s="1436"/>
      <c r="P47" s="1444">
        <v>140000</v>
      </c>
      <c r="Q47" s="1445">
        <v>1</v>
      </c>
      <c r="R47" s="1445"/>
      <c r="S47" s="1436"/>
      <c r="T47" s="1436"/>
      <c r="U47" s="1436"/>
      <c r="V47" s="1436"/>
      <c r="W47" s="1436"/>
      <c r="X47" s="1436"/>
    </row>
    <row r="48" spans="1:24" ht="18" customHeight="1">
      <c r="A48" s="1204"/>
      <c r="B48" s="1205"/>
      <c r="C48" s="1205"/>
      <c r="D48" s="1211"/>
      <c r="E48" s="1212"/>
      <c r="F48" s="1212"/>
      <c r="G48" s="1212"/>
      <c r="H48" s="683"/>
      <c r="I48" s="1940"/>
      <c r="J48" s="845"/>
      <c r="K48" s="1324" t="s">
        <v>1542</v>
      </c>
      <c r="L48" s="1042" t="s">
        <v>464</v>
      </c>
      <c r="M48" s="666">
        <v>3000</v>
      </c>
      <c r="N48" s="1510" t="s">
        <v>1780</v>
      </c>
      <c r="O48" s="1436"/>
      <c r="P48" s="1444">
        <v>1500000</v>
      </c>
      <c r="Q48" s="1445">
        <v>2</v>
      </c>
      <c r="R48" s="1445"/>
      <c r="S48" s="1436"/>
      <c r="T48" s="1436"/>
      <c r="U48" s="1436"/>
      <c r="V48" s="1436"/>
      <c r="W48" s="1436"/>
      <c r="X48" s="1436"/>
    </row>
    <row r="49" spans="1:24" ht="18" customHeight="1">
      <c r="A49" s="1204"/>
      <c r="B49" s="1205"/>
      <c r="C49" s="1205"/>
      <c r="D49" s="1211"/>
      <c r="E49" s="1212"/>
      <c r="F49" s="1212"/>
      <c r="G49" s="1212"/>
      <c r="H49" s="683"/>
      <c r="I49" s="1940"/>
      <c r="J49" s="845"/>
      <c r="K49" s="1324" t="s">
        <v>1543</v>
      </c>
      <c r="L49" s="1042" t="s">
        <v>464</v>
      </c>
      <c r="M49" s="666">
        <v>4560</v>
      </c>
      <c r="N49" s="1508" t="s">
        <v>1781</v>
      </c>
      <c r="O49" s="1436"/>
      <c r="P49" s="1444">
        <v>380000</v>
      </c>
      <c r="Q49" s="1445">
        <v>12</v>
      </c>
      <c r="R49" s="1445"/>
      <c r="S49" s="1436"/>
      <c r="T49" s="1436"/>
      <c r="U49" s="1436"/>
      <c r="V49" s="1436"/>
      <c r="W49" s="1436"/>
      <c r="X49" s="1436"/>
    </row>
    <row r="50" spans="1:24" ht="18" customHeight="1">
      <c r="A50" s="1219"/>
      <c r="B50" s="1220"/>
      <c r="C50" s="1220"/>
      <c r="D50" s="1221"/>
      <c r="E50" s="1222"/>
      <c r="F50" s="1222"/>
      <c r="G50" s="1222"/>
      <c r="H50" s="683"/>
      <c r="I50" s="1940"/>
      <c r="J50" s="845"/>
      <c r="K50" s="1324" t="s">
        <v>1544</v>
      </c>
      <c r="L50" s="1042" t="s">
        <v>464</v>
      </c>
      <c r="M50" s="666">
        <v>22800</v>
      </c>
      <c r="N50" s="1508" t="s">
        <v>1782</v>
      </c>
      <c r="O50" s="1448"/>
      <c r="P50" s="1444">
        <v>1900000</v>
      </c>
      <c r="Q50" s="1445">
        <v>12</v>
      </c>
      <c r="R50" s="1445"/>
      <c r="S50" s="1448"/>
      <c r="T50" s="1448"/>
      <c r="U50" s="1448"/>
      <c r="V50" s="1448"/>
      <c r="W50" s="1448"/>
      <c r="X50" s="1448"/>
    </row>
    <row r="51" spans="1:24" ht="18" customHeight="1">
      <c r="A51" s="1204"/>
      <c r="B51" s="1205"/>
      <c r="C51" s="1205"/>
      <c r="D51" s="1211"/>
      <c r="E51" s="1212"/>
      <c r="F51" s="1212"/>
      <c r="G51" s="1212"/>
      <c r="H51" s="683"/>
      <c r="I51" s="1940"/>
      <c r="J51" s="845"/>
      <c r="K51" s="1324" t="s">
        <v>1545</v>
      </c>
      <c r="L51" s="1042" t="s">
        <v>464</v>
      </c>
      <c r="M51" s="666">
        <v>7900</v>
      </c>
      <c r="N51" s="1510" t="s">
        <v>1783</v>
      </c>
      <c r="O51" s="1436"/>
      <c r="P51" s="1444">
        <v>7900000</v>
      </c>
      <c r="Q51" s="1445">
        <v>1</v>
      </c>
      <c r="R51" s="1445"/>
      <c r="S51" s="1436"/>
      <c r="T51" s="1436"/>
      <c r="U51" s="1436"/>
      <c r="V51" s="1436"/>
      <c r="W51" s="1436"/>
      <c r="X51" s="1436"/>
    </row>
    <row r="52" spans="1:24" ht="18" customHeight="1">
      <c r="A52" s="1204"/>
      <c r="B52" s="1205"/>
      <c r="C52" s="1205"/>
      <c r="D52" s="1211"/>
      <c r="E52" s="1212"/>
      <c r="F52" s="1212"/>
      <c r="G52" s="1212"/>
      <c r="H52" s="683"/>
      <c r="I52" s="1940"/>
      <c r="J52" s="845"/>
      <c r="K52" s="1324" t="s">
        <v>1546</v>
      </c>
      <c r="L52" s="1042" t="s">
        <v>464</v>
      </c>
      <c r="M52" s="666">
        <v>2000</v>
      </c>
      <c r="N52" s="1510" t="s">
        <v>1784</v>
      </c>
      <c r="O52" s="1436"/>
      <c r="P52" s="1444">
        <v>500000</v>
      </c>
      <c r="Q52" s="1445">
        <v>4</v>
      </c>
      <c r="R52" s="1445"/>
      <c r="S52" s="1436"/>
      <c r="T52" s="1436"/>
      <c r="U52" s="1436"/>
      <c r="V52" s="1436"/>
      <c r="W52" s="1436"/>
      <c r="X52" s="1436"/>
    </row>
    <row r="53" spans="1:24" ht="18" customHeight="1">
      <c r="A53" s="1204"/>
      <c r="B53" s="1205"/>
      <c r="C53" s="1205"/>
      <c r="D53" s="1211"/>
      <c r="E53" s="1212"/>
      <c r="F53" s="1212"/>
      <c r="G53" s="1212"/>
      <c r="H53" s="683"/>
      <c r="I53" s="1945"/>
      <c r="J53" s="845"/>
      <c r="K53" s="1324" t="s">
        <v>1547</v>
      </c>
      <c r="L53" s="1042" t="s">
        <v>464</v>
      </c>
      <c r="M53" s="666">
        <v>9324</v>
      </c>
      <c r="N53" s="1510" t="s">
        <v>1785</v>
      </c>
      <c r="O53" s="1436"/>
      <c r="P53" s="1444">
        <v>388500</v>
      </c>
      <c r="Q53" s="1445">
        <v>2</v>
      </c>
      <c r="R53" s="1445">
        <v>12</v>
      </c>
      <c r="S53" s="1436"/>
      <c r="T53" s="1436"/>
      <c r="U53" s="1436"/>
      <c r="V53" s="1436"/>
      <c r="W53" s="1436"/>
      <c r="X53" s="1436"/>
    </row>
    <row r="54" spans="1:24" ht="18" customHeight="1">
      <c r="A54" s="1204"/>
      <c r="B54" s="1205"/>
      <c r="C54" s="1205"/>
      <c r="D54" s="1211"/>
      <c r="E54" s="1212"/>
      <c r="F54" s="1212"/>
      <c r="G54" s="1212"/>
      <c r="H54" s="683"/>
      <c r="I54" s="1945"/>
      <c r="J54" s="845"/>
      <c r="K54" s="1324" t="s">
        <v>1548</v>
      </c>
      <c r="L54" s="1042" t="s">
        <v>464</v>
      </c>
      <c r="M54" s="666">
        <v>10800</v>
      </c>
      <c r="N54" s="1510" t="s">
        <v>1786</v>
      </c>
      <c r="O54" s="1436"/>
      <c r="P54" s="1444">
        <v>900000</v>
      </c>
      <c r="Q54" s="1445">
        <v>12</v>
      </c>
      <c r="R54" s="1445"/>
      <c r="S54" s="1436"/>
      <c r="T54" s="1436"/>
      <c r="U54" s="1436"/>
      <c r="V54" s="1436"/>
      <c r="W54" s="1436"/>
      <c r="X54" s="1436"/>
    </row>
    <row r="55" spans="1:24" ht="18" customHeight="1">
      <c r="A55" s="1204"/>
      <c r="B55" s="1205"/>
      <c r="C55" s="1205"/>
      <c r="D55" s="1211"/>
      <c r="E55" s="1212"/>
      <c r="F55" s="1212"/>
      <c r="G55" s="1212"/>
      <c r="H55" s="683"/>
      <c r="I55" s="1945"/>
      <c r="J55" s="845"/>
      <c r="K55" s="1324" t="s">
        <v>1549</v>
      </c>
      <c r="L55" s="1042" t="s">
        <v>464</v>
      </c>
      <c r="M55" s="666">
        <v>2000</v>
      </c>
      <c r="N55" s="1510" t="s">
        <v>1787</v>
      </c>
      <c r="O55" s="1436"/>
      <c r="P55" s="1444">
        <v>1000000</v>
      </c>
      <c r="Q55" s="1445">
        <v>2</v>
      </c>
      <c r="R55" s="1445"/>
      <c r="S55" s="1436"/>
      <c r="T55" s="1436"/>
      <c r="U55" s="1436"/>
      <c r="V55" s="1436"/>
      <c r="W55" s="1436"/>
      <c r="X55" s="1436"/>
    </row>
    <row r="56" spans="1:24" ht="18" customHeight="1">
      <c r="A56" s="1204"/>
      <c r="B56" s="1205"/>
      <c r="C56" s="1205"/>
      <c r="D56" s="1211"/>
      <c r="E56" s="1212"/>
      <c r="F56" s="1212"/>
      <c r="G56" s="1212"/>
      <c r="H56" s="683"/>
      <c r="I56" s="1945"/>
      <c r="J56" s="590"/>
      <c r="K56" s="1544" t="s">
        <v>1550</v>
      </c>
      <c r="L56" s="1042" t="s">
        <v>464</v>
      </c>
      <c r="M56" s="666">
        <v>20800</v>
      </c>
      <c r="N56" s="1508" t="s">
        <v>1788</v>
      </c>
      <c r="O56" s="1436"/>
      <c r="P56" s="1444">
        <v>1600000</v>
      </c>
      <c r="Q56" s="1445">
        <v>13</v>
      </c>
      <c r="R56" s="1445"/>
      <c r="S56" s="1436"/>
      <c r="T56" s="1436"/>
      <c r="U56" s="1436"/>
      <c r="V56" s="1436"/>
      <c r="W56" s="1436"/>
      <c r="X56" s="1436"/>
    </row>
    <row r="57" spans="1:24" ht="18" customHeight="1">
      <c r="A57" s="1204"/>
      <c r="B57" s="1205"/>
      <c r="C57" s="1205"/>
      <c r="D57" s="1211"/>
      <c r="E57" s="1212"/>
      <c r="F57" s="1212"/>
      <c r="G57" s="1212"/>
      <c r="H57" s="683"/>
      <c r="I57" s="1945"/>
      <c r="J57" s="590"/>
      <c r="K57" s="1544" t="s">
        <v>1551</v>
      </c>
      <c r="L57" s="1042" t="s">
        <v>464</v>
      </c>
      <c r="M57" s="666">
        <v>300</v>
      </c>
      <c r="N57" s="1509" t="s">
        <v>1789</v>
      </c>
      <c r="O57" s="1436"/>
      <c r="P57" s="1444">
        <v>300000</v>
      </c>
      <c r="Q57" s="1445">
        <v>1</v>
      </c>
      <c r="R57" s="1445"/>
      <c r="S57" s="1436"/>
      <c r="T57" s="1436"/>
      <c r="U57" s="1436"/>
      <c r="V57" s="1436"/>
      <c r="W57" s="1436"/>
      <c r="X57" s="1436"/>
    </row>
    <row r="58" spans="1:24" ht="18" customHeight="1">
      <c r="A58" s="1204"/>
      <c r="B58" s="1205"/>
      <c r="C58" s="1205"/>
      <c r="D58" s="1223"/>
      <c r="E58" s="1223"/>
      <c r="F58" s="1223"/>
      <c r="G58" s="1211"/>
      <c r="H58" s="683"/>
      <c r="I58" s="1945"/>
      <c r="J58" s="590"/>
      <c r="K58" s="1325" t="s">
        <v>1552</v>
      </c>
      <c r="L58" s="1042" t="s">
        <v>464</v>
      </c>
      <c r="M58" s="666">
        <v>2500</v>
      </c>
      <c r="N58" s="1509" t="s">
        <v>1790</v>
      </c>
      <c r="O58" s="1424"/>
      <c r="P58" s="1447">
        <v>2500000</v>
      </c>
      <c r="Q58" s="1010">
        <v>1</v>
      </c>
      <c r="R58" s="1445"/>
      <c r="S58" s="1425"/>
      <c r="T58" s="1425"/>
      <c r="U58" s="1425"/>
      <c r="V58" s="1425"/>
      <c r="W58" s="1425"/>
      <c r="X58" s="1425"/>
    </row>
    <row r="59" spans="1:24" ht="18" customHeight="1">
      <c r="A59" s="1204"/>
      <c r="B59" s="1205"/>
      <c r="C59" s="1205"/>
      <c r="D59" s="1223"/>
      <c r="E59" s="1223"/>
      <c r="F59" s="1223"/>
      <c r="G59" s="1211"/>
      <c r="H59" s="683"/>
      <c r="I59" s="1945"/>
      <c r="J59" s="590"/>
      <c r="K59" s="1325" t="s">
        <v>1553</v>
      </c>
      <c r="L59" s="1042" t="s">
        <v>464</v>
      </c>
      <c r="M59" s="666">
        <v>3420</v>
      </c>
      <c r="N59" s="1508" t="s">
        <v>1791</v>
      </c>
      <c r="O59" s="1424"/>
      <c r="P59" s="1447">
        <v>285000</v>
      </c>
      <c r="Q59" s="1010">
        <v>12</v>
      </c>
      <c r="R59" s="1445"/>
      <c r="S59" s="1425"/>
      <c r="T59" s="1425"/>
      <c r="U59" s="1425"/>
      <c r="V59" s="1425"/>
      <c r="W59" s="1425"/>
      <c r="X59" s="1425"/>
    </row>
    <row r="60" spans="1:24" ht="18" customHeight="1">
      <c r="A60" s="1204"/>
      <c r="B60" s="1205"/>
      <c r="C60" s="1205"/>
      <c r="D60" s="1223"/>
      <c r="E60" s="1223"/>
      <c r="F60" s="1211"/>
      <c r="G60" s="1211"/>
      <c r="H60" s="683"/>
      <c r="I60" s="1945"/>
      <c r="J60" s="590"/>
      <c r="K60" s="1325" t="s">
        <v>1554</v>
      </c>
      <c r="L60" s="1042" t="s">
        <v>464</v>
      </c>
      <c r="M60" s="666">
        <v>600</v>
      </c>
      <c r="N60" s="1508" t="s">
        <v>1792</v>
      </c>
      <c r="O60" s="1424"/>
      <c r="P60" s="1447">
        <v>50000</v>
      </c>
      <c r="Q60" s="1010">
        <v>12</v>
      </c>
      <c r="R60" s="1010"/>
      <c r="S60" s="1424"/>
      <c r="T60" s="1424"/>
      <c r="U60" s="1424"/>
      <c r="V60" s="1424"/>
      <c r="W60" s="1424"/>
      <c r="X60" s="1424"/>
    </row>
    <row r="61" spans="1:24" ht="18" customHeight="1">
      <c r="A61" s="1204"/>
      <c r="B61" s="1205"/>
      <c r="C61" s="1205"/>
      <c r="D61" s="1223"/>
      <c r="E61" s="1223"/>
      <c r="F61" s="1211"/>
      <c r="G61" s="1217"/>
      <c r="H61" s="683"/>
      <c r="I61" s="1946"/>
      <c r="J61" s="595"/>
      <c r="K61" s="1325" t="s">
        <v>1555</v>
      </c>
      <c r="L61" s="1042" t="s">
        <v>464</v>
      </c>
      <c r="M61" s="1078">
        <v>12000</v>
      </c>
      <c r="N61" s="2145" t="s">
        <v>1793</v>
      </c>
      <c r="O61" s="1449"/>
      <c r="P61" s="1447">
        <v>3000000</v>
      </c>
      <c r="Q61" s="1010">
        <v>4</v>
      </c>
      <c r="R61" s="1010"/>
      <c r="S61" s="1424"/>
      <c r="T61" s="1424"/>
      <c r="U61" s="1424"/>
      <c r="V61" s="1424"/>
      <c r="W61" s="1424"/>
      <c r="X61" s="1424"/>
    </row>
    <row r="62" spans="1:24" ht="18" customHeight="1">
      <c r="A62" s="1204"/>
      <c r="B62" s="1205"/>
      <c r="C62" s="1205"/>
      <c r="D62" s="1205"/>
      <c r="E62" s="1205"/>
      <c r="F62" s="1205"/>
      <c r="G62" s="1205" t="s">
        <v>408</v>
      </c>
      <c r="H62" s="1876">
        <f>M62</f>
        <v>10248</v>
      </c>
      <c r="I62" s="1940">
        <v>14808</v>
      </c>
      <c r="J62" s="590">
        <f>H62-I62</f>
        <v>-4560</v>
      </c>
      <c r="K62" s="1317" t="s">
        <v>408</v>
      </c>
      <c r="L62" s="1318"/>
      <c r="M62" s="1824">
        <f>M63+M64+M65</f>
        <v>10248</v>
      </c>
      <c r="N62" s="2146"/>
      <c r="O62" s="1450"/>
      <c r="P62" s="1442"/>
      <c r="Q62" s="1443"/>
      <c r="R62" s="1443"/>
      <c r="S62" s="1436"/>
      <c r="T62" s="1436"/>
      <c r="U62" s="1436"/>
      <c r="V62" s="1436"/>
      <c r="W62" s="1436"/>
      <c r="X62" s="1436"/>
    </row>
    <row r="63" spans="1:24" ht="18" customHeight="1">
      <c r="A63" s="1204"/>
      <c r="B63" s="1205"/>
      <c r="C63" s="1205"/>
      <c r="D63" s="1211"/>
      <c r="E63" s="1211"/>
      <c r="F63" s="1212"/>
      <c r="G63" s="1211"/>
      <c r="H63" s="683"/>
      <c r="I63" s="1940"/>
      <c r="J63" s="590"/>
      <c r="K63" s="1327" t="s">
        <v>1556</v>
      </c>
      <c r="L63" s="1323" t="s">
        <v>464</v>
      </c>
      <c r="M63" s="666">
        <v>5160</v>
      </c>
      <c r="N63" s="1509" t="s">
        <v>1794</v>
      </c>
      <c r="O63" s="1446"/>
      <c r="P63" s="1444">
        <v>430000</v>
      </c>
      <c r="Q63" s="1445">
        <v>12</v>
      </c>
      <c r="R63" s="1445"/>
      <c r="S63" s="1446"/>
      <c r="T63" s="1446"/>
      <c r="U63" s="1446"/>
      <c r="V63" s="1446"/>
      <c r="W63" s="1446"/>
      <c r="X63" s="1446"/>
    </row>
    <row r="64" spans="1:24" ht="18" customHeight="1">
      <c r="A64" s="1204"/>
      <c r="B64" s="1205"/>
      <c r="C64" s="1205"/>
      <c r="D64" s="1205"/>
      <c r="E64" s="1205"/>
      <c r="F64" s="1205"/>
      <c r="G64" s="1205"/>
      <c r="H64" s="683"/>
      <c r="I64" s="1940"/>
      <c r="J64" s="590"/>
      <c r="K64" s="1544" t="s">
        <v>1557</v>
      </c>
      <c r="L64" s="1042" t="s">
        <v>464</v>
      </c>
      <c r="M64" s="666">
        <v>2400</v>
      </c>
      <c r="N64" s="1510" t="s">
        <v>1795</v>
      </c>
      <c r="O64" s="1436"/>
      <c r="P64" s="1444">
        <v>200000</v>
      </c>
      <c r="Q64" s="1445">
        <v>1</v>
      </c>
      <c r="R64" s="1445">
        <v>12</v>
      </c>
      <c r="S64" s="1436"/>
      <c r="T64" s="1436"/>
      <c r="U64" s="1436"/>
      <c r="V64" s="1436"/>
      <c r="W64" s="1436"/>
      <c r="X64" s="1436"/>
    </row>
    <row r="65" spans="1:24" ht="18" customHeight="1">
      <c r="A65" s="1204"/>
      <c r="B65" s="1205"/>
      <c r="C65" s="1205"/>
      <c r="D65" s="1211"/>
      <c r="E65" s="1212"/>
      <c r="F65" s="1212"/>
      <c r="G65" s="1212"/>
      <c r="H65" s="1864"/>
      <c r="I65" s="1945"/>
      <c r="J65" s="595"/>
      <c r="K65" s="1325" t="s">
        <v>1558</v>
      </c>
      <c r="L65" s="1042" t="s">
        <v>464</v>
      </c>
      <c r="M65" s="1078">
        <v>2688</v>
      </c>
      <c r="N65" s="1509" t="s">
        <v>1796</v>
      </c>
      <c r="O65" s="1436"/>
      <c r="P65" s="1444">
        <v>224000</v>
      </c>
      <c r="Q65" s="1445">
        <v>12</v>
      </c>
      <c r="R65" s="1445"/>
      <c r="S65" s="1436"/>
      <c r="T65" s="1436"/>
      <c r="U65" s="1436"/>
      <c r="V65" s="1436"/>
      <c r="W65" s="1436"/>
      <c r="X65" s="1436"/>
    </row>
    <row r="66" spans="1:24" ht="18" customHeight="1">
      <c r="A66" s="1204"/>
      <c r="B66" s="1205"/>
      <c r="C66" s="1205"/>
      <c r="D66" s="1205"/>
      <c r="E66" s="1205"/>
      <c r="F66" s="1205"/>
      <c r="G66" s="1218" t="s">
        <v>410</v>
      </c>
      <c r="H66" s="683">
        <f>M66</f>
        <v>40594</v>
      </c>
      <c r="I66" s="1939">
        <v>33806</v>
      </c>
      <c r="J66" s="590">
        <f>H66-I66</f>
        <v>6788</v>
      </c>
      <c r="K66" s="1328" t="s">
        <v>410</v>
      </c>
      <c r="L66" s="1329"/>
      <c r="M66" s="1824">
        <f>M67+M68+M69+M70+M71</f>
        <v>40594</v>
      </c>
      <c r="N66" s="2147"/>
      <c r="O66" s="1436"/>
      <c r="P66" s="1442"/>
      <c r="Q66" s="1443"/>
      <c r="R66" s="1443"/>
      <c r="S66" s="1436"/>
      <c r="T66" s="1436"/>
      <c r="U66" s="1436"/>
      <c r="V66" s="1436"/>
      <c r="W66" s="1436"/>
      <c r="X66" s="1436"/>
    </row>
    <row r="67" spans="1:24" ht="18" customHeight="1">
      <c r="A67" s="1204"/>
      <c r="B67" s="1205"/>
      <c r="C67" s="1205"/>
      <c r="D67" s="1205"/>
      <c r="E67" s="1205"/>
      <c r="F67" s="1205"/>
      <c r="G67" s="1205"/>
      <c r="H67" s="683"/>
      <c r="I67" s="1940"/>
      <c r="J67" s="590"/>
      <c r="K67" s="1330" t="s">
        <v>1559</v>
      </c>
      <c r="L67" s="440" t="s">
        <v>464</v>
      </c>
      <c r="M67" s="666">
        <v>9120</v>
      </c>
      <c r="N67" s="1510" t="s">
        <v>1797</v>
      </c>
      <c r="O67" s="1436"/>
      <c r="P67" s="1444">
        <v>120000</v>
      </c>
      <c r="Q67" s="1445">
        <v>1</v>
      </c>
      <c r="R67" s="1445">
        <v>76</v>
      </c>
      <c r="S67" s="1436"/>
      <c r="T67" s="1436"/>
      <c r="U67" s="1436"/>
      <c r="V67" s="1436"/>
      <c r="W67" s="1436"/>
      <c r="X67" s="1436"/>
    </row>
    <row r="68" spans="1:24" ht="18" customHeight="1">
      <c r="A68" s="1204"/>
      <c r="B68" s="1205"/>
      <c r="C68" s="1205"/>
      <c r="D68" s="1205"/>
      <c r="E68" s="1205"/>
      <c r="F68" s="1214"/>
      <c r="G68" s="1214"/>
      <c r="H68" s="683"/>
      <c r="I68" s="1940"/>
      <c r="J68" s="590"/>
      <c r="K68" s="1019" t="s">
        <v>1560</v>
      </c>
      <c r="L68" s="440" t="s">
        <v>464</v>
      </c>
      <c r="M68" s="666">
        <v>13200</v>
      </c>
      <c r="N68" s="1510" t="s">
        <v>1798</v>
      </c>
      <c r="O68" s="1436"/>
      <c r="P68" s="1444">
        <v>300000</v>
      </c>
      <c r="Q68" s="1445">
        <v>2</v>
      </c>
      <c r="R68" s="1445">
        <v>22</v>
      </c>
      <c r="S68" s="1438"/>
      <c r="T68" s="1451"/>
      <c r="U68" s="1436"/>
      <c r="V68" s="1436"/>
      <c r="W68" s="1436"/>
      <c r="X68" s="1436"/>
    </row>
    <row r="69" spans="1:24" ht="18" customHeight="1">
      <c r="A69" s="1204"/>
      <c r="B69" s="1205"/>
      <c r="C69" s="1205"/>
      <c r="D69" s="1205"/>
      <c r="E69" s="1205"/>
      <c r="F69" s="1214"/>
      <c r="G69" s="1214"/>
      <c r="H69" s="683"/>
      <c r="I69" s="1940"/>
      <c r="J69" s="590"/>
      <c r="K69" s="1019" t="s">
        <v>1561</v>
      </c>
      <c r="L69" s="440" t="s">
        <v>464</v>
      </c>
      <c r="M69" s="666">
        <v>9504</v>
      </c>
      <c r="N69" s="1510" t="s">
        <v>1799</v>
      </c>
      <c r="O69" s="1436"/>
      <c r="P69" s="1444">
        <v>9000</v>
      </c>
      <c r="Q69" s="1445">
        <v>11</v>
      </c>
      <c r="R69" s="1445">
        <v>8</v>
      </c>
      <c r="S69" s="1438">
        <v>12</v>
      </c>
      <c r="T69" s="1451"/>
      <c r="U69" s="1436"/>
      <c r="V69" s="1436"/>
      <c r="W69" s="1436"/>
      <c r="X69" s="1436"/>
    </row>
    <row r="70" spans="1:24" ht="18" customHeight="1">
      <c r="A70" s="1204"/>
      <c r="B70" s="1205"/>
      <c r="C70" s="1205"/>
      <c r="D70" s="1205"/>
      <c r="E70" s="1205"/>
      <c r="F70" s="1214"/>
      <c r="G70" s="1214"/>
      <c r="H70" s="683"/>
      <c r="I70" s="1940"/>
      <c r="J70" s="590"/>
      <c r="K70" s="1330" t="s">
        <v>1562</v>
      </c>
      <c r="L70" s="440" t="s">
        <v>464</v>
      </c>
      <c r="M70" s="666">
        <v>8320</v>
      </c>
      <c r="N70" s="1510" t="s">
        <v>1800</v>
      </c>
      <c r="O70" s="1436"/>
      <c r="P70" s="1444">
        <v>4000</v>
      </c>
      <c r="Q70" s="1445">
        <v>8</v>
      </c>
      <c r="R70" s="1445">
        <v>5</v>
      </c>
      <c r="S70" s="1438">
        <v>52</v>
      </c>
      <c r="T70" s="1451"/>
      <c r="U70" s="1436"/>
      <c r="V70" s="1436"/>
      <c r="W70" s="1436"/>
      <c r="X70" s="1436"/>
    </row>
    <row r="71" spans="1:24" ht="18" customHeight="1">
      <c r="A71" s="1204"/>
      <c r="B71" s="1205"/>
      <c r="C71" s="1205"/>
      <c r="D71" s="1205"/>
      <c r="E71" s="1205"/>
      <c r="F71" s="1205"/>
      <c r="G71" s="1205"/>
      <c r="H71" s="1864"/>
      <c r="I71" s="1940"/>
      <c r="J71" s="595"/>
      <c r="K71" s="1331" t="s">
        <v>1563</v>
      </c>
      <c r="L71" s="1319" t="s">
        <v>464</v>
      </c>
      <c r="M71" s="1078">
        <v>450</v>
      </c>
      <c r="N71" s="1510" t="s">
        <v>1801</v>
      </c>
      <c r="O71" s="1436"/>
      <c r="P71" s="1444">
        <v>150000</v>
      </c>
      <c r="Q71" s="1445">
        <v>3</v>
      </c>
      <c r="R71" s="1445">
        <v>1</v>
      </c>
      <c r="S71" s="1438"/>
      <c r="T71" s="1451"/>
      <c r="U71" s="1436"/>
      <c r="V71" s="1436"/>
      <c r="W71" s="1436"/>
      <c r="X71" s="1436"/>
    </row>
    <row r="72" spans="1:24" ht="18" customHeight="1">
      <c r="A72" s="1204"/>
      <c r="B72" s="1205"/>
      <c r="C72" s="1205"/>
      <c r="D72" s="1205"/>
      <c r="E72" s="1205"/>
      <c r="F72" s="1205"/>
      <c r="G72" s="1218" t="s">
        <v>1222</v>
      </c>
      <c r="H72" s="683">
        <f>M72</f>
        <v>616679</v>
      </c>
      <c r="I72" s="1939">
        <v>573275</v>
      </c>
      <c r="J72" s="590">
        <f>H72-I72</f>
        <v>43404</v>
      </c>
      <c r="K72" s="1317" t="s">
        <v>1222</v>
      </c>
      <c r="L72" s="1311"/>
      <c r="M72" s="1824">
        <f>M73+M74+M75+M76+M77+M78+M79+M80+M81</f>
        <v>616679</v>
      </c>
      <c r="N72" s="2146"/>
      <c r="O72" s="1436"/>
      <c r="P72" s="1442"/>
      <c r="Q72" s="1443"/>
      <c r="R72" s="1443"/>
      <c r="S72" s="1436"/>
      <c r="T72" s="1436"/>
      <c r="U72" s="1436"/>
      <c r="V72" s="1436"/>
      <c r="W72" s="1436"/>
      <c r="X72" s="1436"/>
    </row>
    <row r="73" spans="1:24" ht="18" customHeight="1">
      <c r="A73" s="1204"/>
      <c r="B73" s="1205"/>
      <c r="C73" s="1205"/>
      <c r="D73" s="1205"/>
      <c r="E73" s="1205"/>
      <c r="F73" s="1214"/>
      <c r="G73" s="1214"/>
      <c r="H73" s="683"/>
      <c r="I73" s="1940"/>
      <c r="J73" s="590"/>
      <c r="K73" s="1327" t="s">
        <v>1564</v>
      </c>
      <c r="L73" s="1319" t="s">
        <v>464</v>
      </c>
      <c r="M73" s="666">
        <v>1624</v>
      </c>
      <c r="N73" s="1508" t="s">
        <v>1802</v>
      </c>
      <c r="O73" s="1436"/>
      <c r="P73" s="1442">
        <v>250</v>
      </c>
      <c r="Q73" s="1443">
        <v>6496</v>
      </c>
      <c r="R73" s="1443">
        <v>1</v>
      </c>
      <c r="S73" s="1436"/>
      <c r="T73" s="1436"/>
      <c r="U73" s="1436"/>
      <c r="V73" s="1436"/>
      <c r="W73" s="1436"/>
      <c r="X73" s="1436"/>
    </row>
    <row r="74" spans="1:24" ht="18" customHeight="1">
      <c r="A74" s="1204"/>
      <c r="B74" s="1205"/>
      <c r="C74" s="1205"/>
      <c r="D74" s="1205"/>
      <c r="E74" s="1205"/>
      <c r="F74" s="1214"/>
      <c r="G74" s="1214"/>
      <c r="H74" s="683"/>
      <c r="I74" s="1940"/>
      <c r="J74" s="590"/>
      <c r="K74" s="1544" t="s">
        <v>1565</v>
      </c>
      <c r="L74" s="1042" t="s">
        <v>464</v>
      </c>
      <c r="M74" s="666">
        <v>20</v>
      </c>
      <c r="N74" s="1510" t="s">
        <v>1803</v>
      </c>
      <c r="O74" s="1452"/>
      <c r="P74" s="1444">
        <v>20000</v>
      </c>
      <c r="Q74" s="1445">
        <v>1</v>
      </c>
      <c r="R74" s="1445"/>
      <c r="S74" s="1436"/>
      <c r="T74" s="1436"/>
      <c r="U74" s="1436"/>
      <c r="V74" s="1436"/>
      <c r="W74" s="1436"/>
      <c r="X74" s="1436"/>
    </row>
    <row r="75" spans="1:24" ht="18" customHeight="1">
      <c r="A75" s="1204"/>
      <c r="B75" s="1205"/>
      <c r="C75" s="1205"/>
      <c r="D75" s="1205"/>
      <c r="E75" s="1205"/>
      <c r="F75" s="1214"/>
      <c r="G75" s="1214"/>
      <c r="H75" s="683"/>
      <c r="I75" s="1940"/>
      <c r="J75" s="590"/>
      <c r="K75" s="1544" t="s">
        <v>1566</v>
      </c>
      <c r="L75" s="1042" t="s">
        <v>464</v>
      </c>
      <c r="M75" s="666">
        <v>35</v>
      </c>
      <c r="N75" s="1510" t="s">
        <v>1803</v>
      </c>
      <c r="O75" s="1436"/>
      <c r="P75" s="1444">
        <v>35000</v>
      </c>
      <c r="Q75" s="1445">
        <v>1</v>
      </c>
      <c r="R75" s="1445"/>
      <c r="S75" s="1436"/>
      <c r="T75" s="1436"/>
      <c r="U75" s="1436"/>
      <c r="V75" s="1436"/>
      <c r="W75" s="1436"/>
      <c r="X75" s="1436"/>
    </row>
    <row r="76" spans="1:24" ht="18" customHeight="1">
      <c r="A76" s="1204"/>
      <c r="B76" s="1205"/>
      <c r="C76" s="1205"/>
      <c r="D76" s="1205"/>
      <c r="E76" s="1205"/>
      <c r="F76" s="1214"/>
      <c r="G76" s="1214"/>
      <c r="H76" s="683"/>
      <c r="I76" s="1940"/>
      <c r="J76" s="590"/>
      <c r="K76" s="1544" t="s">
        <v>1567</v>
      </c>
      <c r="L76" s="1042" t="s">
        <v>464</v>
      </c>
      <c r="M76" s="666">
        <v>228000</v>
      </c>
      <c r="N76" s="1508" t="s">
        <v>1804</v>
      </c>
      <c r="O76" s="1436"/>
      <c r="P76" s="1444">
        <v>19000000</v>
      </c>
      <c r="Q76" s="1445">
        <v>12</v>
      </c>
      <c r="R76" s="1445"/>
      <c r="S76" s="1436"/>
      <c r="T76" s="1436"/>
      <c r="U76" s="1436"/>
      <c r="V76" s="1436"/>
      <c r="W76" s="1436"/>
      <c r="X76" s="1436"/>
    </row>
    <row r="77" spans="1:24" ht="18" customHeight="1">
      <c r="A77" s="1204"/>
      <c r="B77" s="1205"/>
      <c r="C77" s="1205"/>
      <c r="D77" s="1205"/>
      <c r="E77" s="1205"/>
      <c r="F77" s="1214"/>
      <c r="G77" s="1214"/>
      <c r="H77" s="683"/>
      <c r="I77" s="1940"/>
      <c r="J77" s="590"/>
      <c r="K77" s="1544" t="s">
        <v>1568</v>
      </c>
      <c r="L77" s="1042" t="s">
        <v>464</v>
      </c>
      <c r="M77" s="666">
        <v>264000</v>
      </c>
      <c r="N77" s="1508" t="s">
        <v>1804</v>
      </c>
      <c r="O77" s="1436"/>
      <c r="P77" s="1444">
        <v>22000000</v>
      </c>
      <c r="Q77" s="1445">
        <v>12</v>
      </c>
      <c r="R77" s="1445"/>
      <c r="S77" s="1436"/>
      <c r="T77" s="1436"/>
      <c r="U77" s="1436"/>
      <c r="V77" s="1436"/>
      <c r="W77" s="1436"/>
      <c r="X77" s="1436"/>
    </row>
    <row r="78" spans="1:24" ht="18" customHeight="1">
      <c r="A78" s="1204"/>
      <c r="B78" s="1205"/>
      <c r="C78" s="1205"/>
      <c r="D78" s="1205"/>
      <c r="E78" s="1205"/>
      <c r="F78" s="1214"/>
      <c r="G78" s="1214"/>
      <c r="H78" s="683"/>
      <c r="I78" s="1940"/>
      <c r="J78" s="590"/>
      <c r="K78" s="1544" t="s">
        <v>1569</v>
      </c>
      <c r="L78" s="1042" t="s">
        <v>464</v>
      </c>
      <c r="M78" s="666">
        <v>108000</v>
      </c>
      <c r="N78" s="1508" t="s">
        <v>1804</v>
      </c>
      <c r="O78" s="1436"/>
      <c r="P78" s="1444">
        <v>9000000</v>
      </c>
      <c r="Q78" s="1445">
        <v>12</v>
      </c>
      <c r="R78" s="1445"/>
      <c r="S78" s="1436"/>
      <c r="T78" s="1436"/>
      <c r="U78" s="1436"/>
      <c r="V78" s="1436"/>
      <c r="W78" s="1436"/>
      <c r="X78" s="1436"/>
    </row>
    <row r="79" spans="1:24" ht="18" customHeight="1">
      <c r="A79" s="1204"/>
      <c r="B79" s="1205"/>
      <c r="C79" s="1205"/>
      <c r="D79" s="1205"/>
      <c r="E79" s="1205"/>
      <c r="F79" s="1214"/>
      <c r="G79" s="1214"/>
      <c r="H79" s="683"/>
      <c r="I79" s="1940"/>
      <c r="J79" s="590"/>
      <c r="K79" s="1544" t="s">
        <v>1570</v>
      </c>
      <c r="L79" s="1042" t="s">
        <v>464</v>
      </c>
      <c r="M79" s="666">
        <v>6000</v>
      </c>
      <c r="N79" s="1510" t="s">
        <v>1805</v>
      </c>
      <c r="O79" s="1436"/>
      <c r="P79" s="1453">
        <v>500000</v>
      </c>
      <c r="Q79" s="1454">
        <v>12</v>
      </c>
      <c r="R79" s="1454"/>
      <c r="S79" s="1436"/>
      <c r="T79" s="1436"/>
      <c r="U79" s="1436"/>
      <c r="V79" s="1436"/>
      <c r="W79" s="1436"/>
      <c r="X79" s="1436"/>
    </row>
    <row r="80" spans="1:24" ht="18" customHeight="1">
      <c r="A80" s="1204"/>
      <c r="B80" s="1205"/>
      <c r="C80" s="1205"/>
      <c r="D80" s="1205"/>
      <c r="E80" s="1205"/>
      <c r="F80" s="1214"/>
      <c r="G80" s="1214"/>
      <c r="H80" s="683"/>
      <c r="I80" s="1940"/>
      <c r="J80" s="590"/>
      <c r="K80" s="1544" t="s">
        <v>1571</v>
      </c>
      <c r="L80" s="1042" t="s">
        <v>464</v>
      </c>
      <c r="M80" s="666">
        <v>3000</v>
      </c>
      <c r="N80" s="1510" t="s">
        <v>1806</v>
      </c>
      <c r="O80" s="1436"/>
      <c r="P80" s="1453">
        <v>3000000</v>
      </c>
      <c r="Q80" s="1454">
        <v>1</v>
      </c>
      <c r="R80" s="1454"/>
      <c r="S80" s="1436"/>
      <c r="T80" s="1436"/>
      <c r="U80" s="1436"/>
      <c r="V80" s="1436"/>
      <c r="W80" s="1436"/>
      <c r="X80" s="1436"/>
    </row>
    <row r="81" spans="1:24" ht="18" customHeight="1">
      <c r="A81" s="1204"/>
      <c r="B81" s="1205"/>
      <c r="C81" s="1205"/>
      <c r="D81" s="1205"/>
      <c r="E81" s="1205"/>
      <c r="F81" s="1214"/>
      <c r="G81" s="1214"/>
      <c r="H81" s="683"/>
      <c r="I81" s="1947"/>
      <c r="J81" s="590"/>
      <c r="K81" s="1332" t="s">
        <v>1572</v>
      </c>
      <c r="L81" s="1177" t="s">
        <v>464</v>
      </c>
      <c r="M81" s="666">
        <v>6000</v>
      </c>
      <c r="N81" s="1510" t="s">
        <v>1807</v>
      </c>
      <c r="O81" s="1436"/>
      <c r="P81" s="1453">
        <v>500000</v>
      </c>
      <c r="Q81" s="1454">
        <v>12</v>
      </c>
      <c r="R81" s="1454"/>
      <c r="S81" s="1436"/>
      <c r="T81" s="1436"/>
      <c r="U81" s="1436"/>
      <c r="V81" s="1436"/>
      <c r="W81" s="1436"/>
      <c r="X81" s="1436"/>
    </row>
    <row r="82" spans="1:24" ht="18" customHeight="1">
      <c r="A82" s="1204"/>
      <c r="B82" s="1205"/>
      <c r="C82" s="1205"/>
      <c r="D82" s="1205"/>
      <c r="E82" s="1205"/>
      <c r="F82" s="1209" t="s">
        <v>412</v>
      </c>
      <c r="G82" s="1216"/>
      <c r="H82" s="1868">
        <f>H83</f>
        <v>33000</v>
      </c>
      <c r="I82" s="1948">
        <v>23580</v>
      </c>
      <c r="J82" s="594">
        <f>H82-I82</f>
        <v>9420</v>
      </c>
      <c r="K82" s="1545"/>
      <c r="L82" s="1333"/>
      <c r="M82" s="668"/>
      <c r="N82" s="1543"/>
      <c r="O82" s="1449"/>
      <c r="P82" s="1455"/>
      <c r="Q82" s="1424"/>
      <c r="R82" s="1424"/>
      <c r="S82" s="1424"/>
      <c r="T82" s="1424"/>
      <c r="U82" s="1424"/>
      <c r="V82" s="1424"/>
      <c r="W82" s="1424"/>
      <c r="X82" s="1424"/>
    </row>
    <row r="83" spans="1:24" ht="18" customHeight="1">
      <c r="A83" s="1204"/>
      <c r="B83" s="1205"/>
      <c r="C83" s="1205"/>
      <c r="D83" s="1205"/>
      <c r="E83" s="1205"/>
      <c r="F83" s="1224"/>
      <c r="G83" s="1205" t="s">
        <v>413</v>
      </c>
      <c r="H83" s="683">
        <f>M83</f>
        <v>33000</v>
      </c>
      <c r="I83" s="1940">
        <v>23580</v>
      </c>
      <c r="J83" s="594">
        <f>H83-I83</f>
        <v>9420</v>
      </c>
      <c r="K83" s="1334" t="s">
        <v>1573</v>
      </c>
      <c r="L83" s="1335"/>
      <c r="M83" s="1827">
        <f>M84+M85</f>
        <v>33000</v>
      </c>
      <c r="N83" s="1503"/>
      <c r="O83" s="1425"/>
      <c r="P83" s="1442"/>
      <c r="Q83" s="1443"/>
      <c r="R83" s="1443"/>
      <c r="S83" s="1425"/>
      <c r="T83" s="1425"/>
      <c r="U83" s="1425"/>
      <c r="V83" s="1425"/>
      <c r="W83" s="1424"/>
      <c r="X83" s="1424"/>
    </row>
    <row r="84" spans="1:24" ht="18" customHeight="1">
      <c r="A84" s="1204"/>
      <c r="B84" s="1205"/>
      <c r="C84" s="1205"/>
      <c r="D84" s="1205"/>
      <c r="E84" s="1205"/>
      <c r="F84" s="1205"/>
      <c r="G84" s="1205"/>
      <c r="H84" s="683"/>
      <c r="I84" s="1940"/>
      <c r="J84" s="590"/>
      <c r="K84" s="1331" t="s">
        <v>1574</v>
      </c>
      <c r="L84" s="1319" t="s">
        <v>464</v>
      </c>
      <c r="M84" s="666">
        <v>26400</v>
      </c>
      <c r="N84" s="1509" t="s">
        <v>1808</v>
      </c>
      <c r="O84" s="1425"/>
      <c r="P84" s="1444">
        <v>20000</v>
      </c>
      <c r="Q84" s="1445">
        <v>11</v>
      </c>
      <c r="R84" s="1445">
        <v>10</v>
      </c>
      <c r="S84" s="1425">
        <v>12</v>
      </c>
      <c r="T84" s="1425"/>
      <c r="U84" s="1425"/>
      <c r="V84" s="1425"/>
      <c r="W84" s="1424"/>
      <c r="X84" s="1424"/>
    </row>
    <row r="85" spans="1:24" ht="18" customHeight="1">
      <c r="A85" s="1204"/>
      <c r="B85" s="1205"/>
      <c r="C85" s="1205"/>
      <c r="D85" s="1205"/>
      <c r="E85" s="1205"/>
      <c r="F85" s="1205"/>
      <c r="G85" s="1205"/>
      <c r="H85" s="683"/>
      <c r="I85" s="1940"/>
      <c r="J85" s="590"/>
      <c r="K85" s="1331" t="s">
        <v>1575</v>
      </c>
      <c r="L85" s="1319" t="s">
        <v>464</v>
      </c>
      <c r="M85" s="666">
        <v>6600</v>
      </c>
      <c r="N85" s="1509" t="s">
        <v>1809</v>
      </c>
      <c r="O85" s="1425"/>
      <c r="P85" s="1444">
        <v>110000</v>
      </c>
      <c r="Q85" s="1445">
        <v>5</v>
      </c>
      <c r="R85" s="1445">
        <v>3</v>
      </c>
      <c r="S85" s="1425">
        <v>4</v>
      </c>
      <c r="T85" s="1425"/>
      <c r="U85" s="1425"/>
      <c r="V85" s="1425"/>
      <c r="W85" s="1424"/>
      <c r="X85" s="1424"/>
    </row>
    <row r="86" spans="1:24" ht="18" customHeight="1">
      <c r="A86" s="1204"/>
      <c r="B86" s="1205"/>
      <c r="C86" s="1205"/>
      <c r="D86" s="1205"/>
      <c r="E86" s="1205"/>
      <c r="F86" s="1209" t="s">
        <v>996</v>
      </c>
      <c r="G86" s="1216"/>
      <c r="H86" s="1868">
        <f>H87</f>
        <v>30000</v>
      </c>
      <c r="I86" s="1949">
        <v>0</v>
      </c>
      <c r="J86" s="594">
        <f>H86-I86</f>
        <v>30000</v>
      </c>
      <c r="K86" s="1336"/>
      <c r="L86" s="1337"/>
      <c r="M86" s="668"/>
      <c r="N86" s="2148"/>
      <c r="O86" s="1425"/>
      <c r="P86" s="1444"/>
      <c r="Q86" s="1445"/>
      <c r="R86" s="1445"/>
      <c r="S86" s="1425"/>
      <c r="T86" s="1425"/>
      <c r="U86" s="1425"/>
      <c r="V86" s="1425"/>
      <c r="W86" s="1424"/>
      <c r="X86" s="1424"/>
    </row>
    <row r="87" spans="1:24" ht="18" customHeight="1">
      <c r="A87" s="1204"/>
      <c r="B87" s="1205"/>
      <c r="C87" s="1205"/>
      <c r="D87" s="1205"/>
      <c r="E87" s="1205"/>
      <c r="F87" s="1218"/>
      <c r="G87" s="1214" t="s">
        <v>436</v>
      </c>
      <c r="H87" s="1876">
        <f>M87</f>
        <v>30000</v>
      </c>
      <c r="I87" s="1941">
        <v>0</v>
      </c>
      <c r="J87" s="594">
        <f>H87-I87</f>
        <v>30000</v>
      </c>
      <c r="K87" s="1338" t="s">
        <v>436</v>
      </c>
      <c r="L87" s="1319"/>
      <c r="M87" s="1827">
        <f>M88</f>
        <v>30000</v>
      </c>
      <c r="N87" s="1509"/>
      <c r="O87" s="1425"/>
      <c r="P87" s="1444"/>
      <c r="Q87" s="1445"/>
      <c r="R87" s="1445"/>
      <c r="S87" s="1425"/>
      <c r="T87" s="1425"/>
      <c r="U87" s="1425"/>
      <c r="V87" s="1425"/>
      <c r="W87" s="1424"/>
      <c r="X87" s="1424"/>
    </row>
    <row r="88" spans="1:24" ht="18" customHeight="1">
      <c r="A88" s="1204"/>
      <c r="B88" s="1205"/>
      <c r="C88" s="1205"/>
      <c r="D88" s="1205"/>
      <c r="E88" s="1205"/>
      <c r="F88" s="1225"/>
      <c r="G88" s="1214"/>
      <c r="H88" s="1864"/>
      <c r="I88" s="1941"/>
      <c r="J88" s="590"/>
      <c r="K88" s="1331" t="s">
        <v>1576</v>
      </c>
      <c r="L88" s="1320" t="s">
        <v>464</v>
      </c>
      <c r="M88" s="666">
        <v>30000</v>
      </c>
      <c r="N88" s="1510" t="s">
        <v>1810</v>
      </c>
      <c r="O88" s="1425"/>
      <c r="P88" s="1444">
        <v>30000000</v>
      </c>
      <c r="Q88" s="1445">
        <v>1</v>
      </c>
      <c r="R88" s="1445"/>
      <c r="S88" s="1425"/>
      <c r="T88" s="1425"/>
      <c r="U88" s="1425"/>
      <c r="V88" s="1425"/>
      <c r="W88" s="1424"/>
      <c r="X88" s="1424"/>
    </row>
    <row r="89" spans="1:24" ht="18" customHeight="1">
      <c r="A89" s="1204"/>
      <c r="B89" s="1205"/>
      <c r="C89" s="1205"/>
      <c r="D89" s="1205"/>
      <c r="E89" s="1205"/>
      <c r="F89" s="1209" t="s">
        <v>419</v>
      </c>
      <c r="G89" s="1216"/>
      <c r="H89" s="1864">
        <f>H90</f>
        <v>15900</v>
      </c>
      <c r="I89" s="1949">
        <v>11700</v>
      </c>
      <c r="J89" s="597">
        <f>H89-I89</f>
        <v>4200</v>
      </c>
      <c r="K89" s="1339"/>
      <c r="L89" s="1340"/>
      <c r="M89" s="668"/>
      <c r="N89" s="2149"/>
      <c r="O89" s="1424"/>
      <c r="P89" s="1456"/>
      <c r="Q89" s="1457"/>
      <c r="R89" s="1457"/>
      <c r="S89" s="1424"/>
      <c r="T89" s="1424"/>
      <c r="U89" s="1424"/>
      <c r="V89" s="1424"/>
      <c r="W89" s="1424"/>
      <c r="X89" s="1424"/>
    </row>
    <row r="90" spans="1:24" ht="18" customHeight="1">
      <c r="A90" s="1204"/>
      <c r="B90" s="1205"/>
      <c r="C90" s="1205"/>
      <c r="D90" s="1205"/>
      <c r="E90" s="1205"/>
      <c r="F90" s="1205"/>
      <c r="G90" s="1205" t="s">
        <v>421</v>
      </c>
      <c r="H90" s="1876">
        <f>M90</f>
        <v>15900</v>
      </c>
      <c r="I90" s="1941">
        <v>11700</v>
      </c>
      <c r="J90" s="590">
        <f>H90-I90</f>
        <v>4200</v>
      </c>
      <c r="K90" s="1334" t="s">
        <v>1577</v>
      </c>
      <c r="L90" s="1335"/>
      <c r="M90" s="1827">
        <f>M91</f>
        <v>15900</v>
      </c>
      <c r="N90" s="2431" t="s">
        <v>1811</v>
      </c>
      <c r="O90" s="1424"/>
      <c r="P90" s="1456"/>
      <c r="Q90" s="1457"/>
      <c r="R90" s="1457"/>
      <c r="S90" s="1424"/>
      <c r="T90" s="1424"/>
      <c r="U90" s="1424"/>
      <c r="V90" s="1424"/>
      <c r="W90" s="1424"/>
      <c r="X90" s="1424"/>
    </row>
    <row r="91" spans="1:24" ht="18" customHeight="1">
      <c r="A91" s="1204"/>
      <c r="B91" s="1205"/>
      <c r="C91" s="1205"/>
      <c r="D91" s="1205"/>
      <c r="E91" s="1205"/>
      <c r="F91" s="1205"/>
      <c r="G91" s="1205"/>
      <c r="H91" s="1862"/>
      <c r="I91" s="1941"/>
      <c r="J91" s="590"/>
      <c r="K91" s="1334" t="s">
        <v>1578</v>
      </c>
      <c r="L91" s="1335"/>
      <c r="M91" s="1824">
        <f>SUM(M92:M95)</f>
        <v>15900</v>
      </c>
      <c r="N91" s="2431"/>
      <c r="O91" s="1424"/>
      <c r="P91" s="1456"/>
      <c r="Q91" s="1457"/>
      <c r="R91" s="1457"/>
      <c r="S91" s="1424"/>
      <c r="T91" s="1424"/>
      <c r="U91" s="1424"/>
      <c r="V91" s="1424"/>
      <c r="W91" s="1424"/>
      <c r="X91" s="1424"/>
    </row>
    <row r="92" spans="1:24" ht="18" customHeight="1">
      <c r="A92" s="1204"/>
      <c r="B92" s="1205"/>
      <c r="C92" s="1205"/>
      <c r="D92" s="1205"/>
      <c r="E92" s="1205"/>
      <c r="F92" s="1205"/>
      <c r="G92" s="1205"/>
      <c r="H92" s="1862"/>
      <c r="I92" s="1941"/>
      <c r="J92" s="590"/>
      <c r="K92" s="1331" t="s">
        <v>1579</v>
      </c>
      <c r="L92" s="1319" t="s">
        <v>464</v>
      </c>
      <c r="M92" s="666">
        <v>4800</v>
      </c>
      <c r="N92" s="1509" t="s">
        <v>1812</v>
      </c>
      <c r="O92" s="1424"/>
      <c r="P92" s="1455"/>
      <c r="Q92" s="1424"/>
      <c r="R92" s="1424"/>
      <c r="S92" s="1424"/>
      <c r="T92" s="1424"/>
      <c r="U92" s="1424"/>
      <c r="V92" s="1424"/>
      <c r="W92" s="1424"/>
      <c r="X92" s="1424"/>
    </row>
    <row r="93" spans="1:24" ht="18" customHeight="1">
      <c r="A93" s="1204"/>
      <c r="B93" s="1205"/>
      <c r="C93" s="1205"/>
      <c r="D93" s="1205"/>
      <c r="E93" s="1205"/>
      <c r="F93" s="1205"/>
      <c r="G93" s="1205"/>
      <c r="H93" s="1862"/>
      <c r="I93" s="1941"/>
      <c r="J93" s="590"/>
      <c r="K93" s="1331" t="s">
        <v>1580</v>
      </c>
      <c r="L93" s="1341" t="s">
        <v>464</v>
      </c>
      <c r="M93" s="666">
        <v>4800</v>
      </c>
      <c r="N93" s="1509" t="s">
        <v>1812</v>
      </c>
      <c r="O93" s="1424"/>
      <c r="P93" s="1425"/>
      <c r="Q93" s="1425"/>
      <c r="R93" s="1425"/>
      <c r="S93" s="1424"/>
      <c r="T93" s="1424"/>
      <c r="U93" s="1424"/>
      <c r="V93" s="1424"/>
      <c r="W93" s="1424"/>
      <c r="X93" s="1424"/>
    </row>
    <row r="94" spans="1:24" ht="18" customHeight="1">
      <c r="A94" s="1204"/>
      <c r="B94" s="1205"/>
      <c r="C94" s="1205"/>
      <c r="D94" s="1205"/>
      <c r="E94" s="1205"/>
      <c r="F94" s="1205"/>
      <c r="G94" s="1205"/>
      <c r="H94" s="1862"/>
      <c r="I94" s="1941"/>
      <c r="J94" s="590"/>
      <c r="K94" s="1331" t="s">
        <v>1581</v>
      </c>
      <c r="L94" s="1341" t="s">
        <v>464</v>
      </c>
      <c r="M94" s="666">
        <v>2100</v>
      </c>
      <c r="N94" s="1509" t="s">
        <v>1813</v>
      </c>
      <c r="O94" s="1424"/>
      <c r="P94" s="1424"/>
      <c r="Q94" s="1424"/>
      <c r="R94" s="1424"/>
      <c r="S94" s="1424"/>
      <c r="T94" s="1424"/>
      <c r="U94" s="1424"/>
      <c r="V94" s="1424"/>
      <c r="W94" s="1424"/>
      <c r="X94" s="1424"/>
    </row>
    <row r="95" spans="1:24" ht="18" customHeight="1">
      <c r="A95" s="1204"/>
      <c r="B95" s="1205"/>
      <c r="C95" s="1205"/>
      <c r="D95" s="1205"/>
      <c r="E95" s="1225"/>
      <c r="F95" s="1225"/>
      <c r="G95" s="1226"/>
      <c r="H95" s="1864"/>
      <c r="I95" s="1944"/>
      <c r="J95" s="595"/>
      <c r="K95" s="1408" t="s">
        <v>1582</v>
      </c>
      <c r="L95" s="1341" t="s">
        <v>464</v>
      </c>
      <c r="M95" s="666">
        <v>4200</v>
      </c>
      <c r="N95" s="1509" t="s">
        <v>1814</v>
      </c>
      <c r="O95" s="1449"/>
      <c r="P95" s="1424"/>
      <c r="Q95" s="1424"/>
      <c r="R95" s="1424"/>
      <c r="S95" s="1424"/>
      <c r="T95" s="1424"/>
      <c r="U95" s="1424"/>
      <c r="V95" s="1424"/>
      <c r="W95" s="1424"/>
      <c r="X95" s="1424"/>
    </row>
    <row r="96" spans="1:24" ht="18" customHeight="1">
      <c r="A96" s="1204"/>
      <c r="B96" s="1205"/>
      <c r="C96" s="1205"/>
      <c r="D96" s="1224"/>
      <c r="E96" s="1227" t="s">
        <v>999</v>
      </c>
      <c r="F96" s="1228"/>
      <c r="G96" s="1216"/>
      <c r="H96" s="1919">
        <f>H97</f>
        <v>5920</v>
      </c>
      <c r="I96" s="1950">
        <v>0</v>
      </c>
      <c r="J96" s="607">
        <f>H96-I96</f>
        <v>5920</v>
      </c>
      <c r="K96" s="1336"/>
      <c r="L96" s="1342"/>
      <c r="M96" s="1534"/>
      <c r="N96" s="1509"/>
      <c r="O96" s="1424"/>
      <c r="P96" s="1424"/>
      <c r="Q96" s="1424"/>
      <c r="R96" s="1424"/>
      <c r="S96" s="1424"/>
      <c r="T96" s="1424"/>
      <c r="U96" s="1424"/>
      <c r="V96" s="1424"/>
      <c r="W96" s="1424"/>
      <c r="X96" s="1424"/>
    </row>
    <row r="97" spans="1:24" ht="18" customHeight="1">
      <c r="A97" s="1204"/>
      <c r="B97" s="1205"/>
      <c r="C97" s="1205"/>
      <c r="D97" s="1205"/>
      <c r="E97" s="1218"/>
      <c r="F97" s="1209" t="s">
        <v>1485</v>
      </c>
      <c r="G97" s="1216"/>
      <c r="H97" s="1864">
        <f>H98</f>
        <v>5920</v>
      </c>
      <c r="I97" s="1949">
        <v>0</v>
      </c>
      <c r="J97" s="597">
        <f>H97-I97</f>
        <v>5920</v>
      </c>
      <c r="K97" s="1336"/>
      <c r="L97" s="1342"/>
      <c r="M97" s="1534"/>
      <c r="N97" s="1509"/>
      <c r="O97" s="1424"/>
      <c r="P97" s="1424"/>
      <c r="Q97" s="1424"/>
      <c r="R97" s="1424"/>
      <c r="S97" s="1424"/>
      <c r="T97" s="1424"/>
      <c r="U97" s="1424"/>
      <c r="V97" s="1424"/>
      <c r="W97" s="1424"/>
      <c r="X97" s="1424"/>
    </row>
    <row r="98" spans="1:24" ht="18" customHeight="1">
      <c r="A98" s="1204"/>
      <c r="B98" s="1205"/>
      <c r="C98" s="1205"/>
      <c r="D98" s="1205"/>
      <c r="E98" s="1205"/>
      <c r="F98" s="1218"/>
      <c r="G98" s="1218" t="s">
        <v>1486</v>
      </c>
      <c r="H98" s="1862">
        <f>M98</f>
        <v>5920</v>
      </c>
      <c r="I98" s="1943">
        <v>0</v>
      </c>
      <c r="J98" s="590">
        <f>H98-I98</f>
        <v>5920</v>
      </c>
      <c r="K98" s="1542" t="s">
        <v>1486</v>
      </c>
      <c r="L98" s="1343"/>
      <c r="M98" s="1827">
        <f>M99</f>
        <v>5920</v>
      </c>
      <c r="N98" s="1509"/>
      <c r="O98" s="1424"/>
      <c r="P98" s="1424"/>
      <c r="Q98" s="1424"/>
      <c r="R98" s="1424"/>
      <c r="S98" s="1424"/>
      <c r="T98" s="1424"/>
      <c r="U98" s="1424"/>
      <c r="V98" s="1424"/>
      <c r="W98" s="1424"/>
      <c r="X98" s="1424"/>
    </row>
    <row r="99" spans="1:24" ht="18" customHeight="1">
      <c r="A99" s="1204"/>
      <c r="B99" s="1205"/>
      <c r="C99" s="1205"/>
      <c r="D99" s="1225"/>
      <c r="E99" s="1225"/>
      <c r="F99" s="1225"/>
      <c r="G99" s="1225"/>
      <c r="H99" s="1862"/>
      <c r="I99" s="1944"/>
      <c r="J99" s="595"/>
      <c r="K99" s="1331" t="s">
        <v>1583</v>
      </c>
      <c r="L99" s="1341" t="s">
        <v>464</v>
      </c>
      <c r="M99" s="1078">
        <v>5920</v>
      </c>
      <c r="N99" s="2150" t="s">
        <v>1815</v>
      </c>
      <c r="O99" s="1424"/>
      <c r="P99" s="1458">
        <v>370000</v>
      </c>
      <c r="Q99" s="1424">
        <v>8</v>
      </c>
      <c r="R99" s="1424">
        <v>2</v>
      </c>
      <c r="S99" s="1424"/>
      <c r="T99" s="1424"/>
      <c r="U99" s="1424"/>
      <c r="V99" s="1424"/>
      <c r="W99" s="1424"/>
      <c r="X99" s="1424"/>
    </row>
    <row r="100" spans="1:24" ht="18" customHeight="1">
      <c r="A100" s="340"/>
      <c r="B100" s="344"/>
      <c r="C100" s="344"/>
      <c r="D100" s="341" t="s">
        <v>1487</v>
      </c>
      <c r="E100" s="342"/>
      <c r="F100" s="342"/>
      <c r="G100" s="343"/>
      <c r="H100" s="1876">
        <f>H101</f>
        <v>100354</v>
      </c>
      <c r="I100" s="1951">
        <v>54854</v>
      </c>
      <c r="J100" s="594">
        <f>H100-I100</f>
        <v>45500</v>
      </c>
      <c r="K100" s="1537"/>
      <c r="L100" s="1344"/>
      <c r="M100" s="666"/>
      <c r="N100" s="2141"/>
      <c r="O100" s="609"/>
      <c r="P100" s="610"/>
      <c r="Q100" s="1426"/>
      <c r="R100" s="1426"/>
      <c r="S100" s="1426"/>
      <c r="T100" s="1427"/>
      <c r="U100" s="387"/>
      <c r="V100" s="389"/>
      <c r="W100" s="389"/>
      <c r="X100" s="389"/>
    </row>
    <row r="101" spans="1:24" ht="18" customHeight="1">
      <c r="A101" s="340"/>
      <c r="B101" s="344"/>
      <c r="C101" s="347"/>
      <c r="D101" s="348"/>
      <c r="E101" s="341" t="s">
        <v>1484</v>
      </c>
      <c r="F101" s="342"/>
      <c r="G101" s="343"/>
      <c r="H101" s="1868">
        <f>H102+H107</f>
        <v>100354</v>
      </c>
      <c r="I101" s="1942">
        <v>54854</v>
      </c>
      <c r="J101" s="597">
        <f t="shared" ref="J101:J103" si="1">H101-I101</f>
        <v>45500</v>
      </c>
      <c r="K101" s="1308"/>
      <c r="L101" s="1309"/>
      <c r="M101" s="668"/>
      <c r="N101" s="2141"/>
      <c r="O101" s="609"/>
      <c r="P101" s="610"/>
      <c r="Q101" s="1426"/>
      <c r="R101" s="1426"/>
      <c r="S101" s="1426"/>
      <c r="T101" s="1429"/>
      <c r="U101" s="387"/>
      <c r="V101" s="389"/>
      <c r="W101" s="389"/>
      <c r="X101" s="389"/>
    </row>
    <row r="102" spans="1:24" ht="18" customHeight="1">
      <c r="A102" s="1204"/>
      <c r="B102" s="1205"/>
      <c r="C102" s="1205"/>
      <c r="D102" s="1205"/>
      <c r="E102" s="1205"/>
      <c r="F102" s="1209" t="s">
        <v>1488</v>
      </c>
      <c r="G102" s="1216"/>
      <c r="H102" s="1868">
        <f>H103+H105</f>
        <v>10354</v>
      </c>
      <c r="I102" s="1949">
        <v>10354</v>
      </c>
      <c r="J102" s="595">
        <f t="shared" si="1"/>
        <v>0</v>
      </c>
      <c r="K102" s="1345"/>
      <c r="L102" s="1346"/>
      <c r="M102" s="666"/>
      <c r="N102" s="2151"/>
      <c r="O102" s="1452"/>
      <c r="P102" s="1452"/>
      <c r="Q102" s="1452"/>
      <c r="R102" s="1452"/>
      <c r="S102" s="1452"/>
      <c r="T102" s="1452"/>
      <c r="U102" s="1452"/>
      <c r="V102" s="1452"/>
      <c r="W102" s="1452"/>
      <c r="X102" s="1452"/>
    </row>
    <row r="103" spans="1:24" ht="18" customHeight="1">
      <c r="A103" s="1204"/>
      <c r="B103" s="1205"/>
      <c r="C103" s="1205"/>
      <c r="D103" s="1205"/>
      <c r="E103" s="1205"/>
      <c r="F103" s="1224"/>
      <c r="G103" s="1205" t="s">
        <v>1489</v>
      </c>
      <c r="H103" s="1862">
        <f>M103</f>
        <v>1000</v>
      </c>
      <c r="I103" s="1941">
        <v>1000</v>
      </c>
      <c r="J103" s="594">
        <f t="shared" si="1"/>
        <v>0</v>
      </c>
      <c r="K103" s="1538" t="s">
        <v>1489</v>
      </c>
      <c r="L103" s="1347"/>
      <c r="M103" s="1827">
        <f>M104</f>
        <v>1000</v>
      </c>
      <c r="N103" s="1543"/>
      <c r="O103" s="1452"/>
      <c r="P103" s="1452"/>
      <c r="Q103" s="1452"/>
      <c r="R103" s="1452"/>
      <c r="S103" s="1452"/>
      <c r="T103" s="1452"/>
      <c r="U103" s="1452"/>
      <c r="V103" s="1452"/>
      <c r="W103" s="1452"/>
      <c r="X103" s="1452"/>
    </row>
    <row r="104" spans="1:24" ht="18" customHeight="1">
      <c r="A104" s="1204"/>
      <c r="B104" s="1205"/>
      <c r="C104" s="1205"/>
      <c r="D104" s="1205"/>
      <c r="E104" s="1205"/>
      <c r="F104" s="1224"/>
      <c r="G104" s="1225"/>
      <c r="H104" s="1862"/>
      <c r="I104" s="1944"/>
      <c r="J104" s="590"/>
      <c r="K104" s="1523" t="s">
        <v>1584</v>
      </c>
      <c r="L104" s="1333" t="s">
        <v>464</v>
      </c>
      <c r="M104" s="1078">
        <v>1000</v>
      </c>
      <c r="N104" s="2152" t="s">
        <v>1816</v>
      </c>
      <c r="O104" s="1452"/>
      <c r="P104" s="1459">
        <v>500000</v>
      </c>
      <c r="Q104" s="1452">
        <v>2</v>
      </c>
      <c r="R104" s="1452"/>
      <c r="S104" s="1452"/>
      <c r="T104" s="1452"/>
      <c r="U104" s="1452"/>
      <c r="V104" s="1452"/>
      <c r="W104" s="1452"/>
      <c r="X104" s="1452"/>
    </row>
    <row r="105" spans="1:24" ht="18" customHeight="1">
      <c r="A105" s="1204"/>
      <c r="B105" s="1205"/>
      <c r="C105" s="1205"/>
      <c r="D105" s="1205"/>
      <c r="E105" s="1205"/>
      <c r="F105" s="1224"/>
      <c r="G105" s="1205" t="s">
        <v>1490</v>
      </c>
      <c r="H105" s="1876">
        <f>M105</f>
        <v>9354</v>
      </c>
      <c r="I105" s="1941">
        <v>9354</v>
      </c>
      <c r="J105" s="594">
        <f>H105-I105</f>
        <v>0</v>
      </c>
      <c r="K105" s="1539" t="s">
        <v>1490</v>
      </c>
      <c r="L105" s="1348"/>
      <c r="M105" s="1824">
        <f>M106</f>
        <v>9354</v>
      </c>
      <c r="N105" s="1503"/>
      <c r="O105" s="1452"/>
      <c r="P105" s="1459"/>
      <c r="Q105" s="1452"/>
      <c r="R105" s="1452"/>
      <c r="S105" s="1452"/>
      <c r="T105" s="1452"/>
      <c r="U105" s="1452"/>
      <c r="V105" s="1452"/>
      <c r="W105" s="1452"/>
      <c r="X105" s="1452"/>
    </row>
    <row r="106" spans="1:24" ht="18" customHeight="1">
      <c r="A106" s="1204"/>
      <c r="B106" s="1205"/>
      <c r="C106" s="1205"/>
      <c r="D106" s="1211"/>
      <c r="E106" s="1211"/>
      <c r="F106" s="1223"/>
      <c r="G106" s="1211"/>
      <c r="H106" s="1862"/>
      <c r="I106" s="1941"/>
      <c r="J106" s="595"/>
      <c r="K106" s="1540" t="s">
        <v>1585</v>
      </c>
      <c r="L106" s="1319" t="s">
        <v>464</v>
      </c>
      <c r="M106" s="666">
        <v>9354</v>
      </c>
      <c r="N106" s="1509" t="s">
        <v>1817</v>
      </c>
      <c r="O106" s="1452"/>
      <c r="P106" s="1460">
        <v>779500</v>
      </c>
      <c r="Q106" s="1461">
        <v>12</v>
      </c>
      <c r="R106" s="1462"/>
      <c r="S106" s="1452"/>
      <c r="T106" s="1452"/>
      <c r="U106" s="1452"/>
      <c r="V106" s="1452"/>
      <c r="W106" s="1452"/>
      <c r="X106" s="1452"/>
    </row>
    <row r="107" spans="1:24" ht="18" customHeight="1">
      <c r="A107" s="1204"/>
      <c r="B107" s="1205"/>
      <c r="C107" s="1205"/>
      <c r="D107" s="1205"/>
      <c r="E107" s="1205"/>
      <c r="F107" s="1209" t="s">
        <v>417</v>
      </c>
      <c r="G107" s="1216"/>
      <c r="H107" s="1876">
        <f>H108</f>
        <v>90000</v>
      </c>
      <c r="I107" s="1949">
        <v>44500</v>
      </c>
      <c r="J107" s="595">
        <f>H107-I107</f>
        <v>45500</v>
      </c>
      <c r="K107" s="1541"/>
      <c r="L107" s="1349"/>
      <c r="M107" s="1534"/>
      <c r="N107" s="1463"/>
      <c r="O107" s="1464"/>
      <c r="P107" s="1452"/>
      <c r="Q107" s="1452"/>
      <c r="R107" s="1452"/>
      <c r="S107" s="1452"/>
      <c r="T107" s="1452"/>
      <c r="U107" s="1452"/>
      <c r="V107" s="1452"/>
      <c r="W107" s="1452"/>
      <c r="X107" s="1452"/>
    </row>
    <row r="108" spans="1:24" ht="18" customHeight="1">
      <c r="A108" s="1204"/>
      <c r="B108" s="1205"/>
      <c r="C108" s="1205"/>
      <c r="D108" s="1205"/>
      <c r="E108" s="1205"/>
      <c r="F108" s="1224"/>
      <c r="G108" s="1205" t="s">
        <v>1491</v>
      </c>
      <c r="H108" s="1876">
        <f>M108</f>
        <v>90000</v>
      </c>
      <c r="I108" s="1941">
        <v>44500</v>
      </c>
      <c r="J108" s="845">
        <f>H108-I108</f>
        <v>45500</v>
      </c>
      <c r="K108" s="1326" t="s">
        <v>1491</v>
      </c>
      <c r="L108" s="1335"/>
      <c r="M108" s="1827">
        <f>M109+M110</f>
        <v>90000</v>
      </c>
      <c r="N108" s="1543"/>
      <c r="O108" s="1452"/>
      <c r="P108" s="1452"/>
      <c r="Q108" s="1452"/>
      <c r="R108" s="1452"/>
      <c r="S108" s="1452"/>
      <c r="T108" s="1452"/>
      <c r="U108" s="1452"/>
      <c r="V108" s="1452"/>
      <c r="W108" s="1452"/>
      <c r="X108" s="1452"/>
    </row>
    <row r="109" spans="1:24" ht="18" customHeight="1">
      <c r="A109" s="1204"/>
      <c r="B109" s="1205"/>
      <c r="C109" s="1205"/>
      <c r="D109" s="1211"/>
      <c r="E109" s="1211"/>
      <c r="F109" s="1223"/>
      <c r="G109" s="1211"/>
      <c r="H109" s="1862"/>
      <c r="I109" s="1941"/>
      <c r="J109" s="845"/>
      <c r="K109" s="1350" t="s">
        <v>1586</v>
      </c>
      <c r="L109" s="1319" t="s">
        <v>464</v>
      </c>
      <c r="M109" s="666">
        <v>45000</v>
      </c>
      <c r="N109" s="1509" t="s">
        <v>1818</v>
      </c>
      <c r="O109" s="1452"/>
      <c r="P109" s="1465">
        <v>45000000</v>
      </c>
      <c r="Q109" s="1462">
        <v>1</v>
      </c>
      <c r="R109" s="1452"/>
      <c r="S109" s="1452"/>
      <c r="T109" s="1452"/>
      <c r="U109" s="1452"/>
      <c r="V109" s="1452"/>
      <c r="W109" s="1452"/>
      <c r="X109" s="1452"/>
    </row>
    <row r="110" spans="1:24" ht="18" customHeight="1">
      <c r="A110" s="1204"/>
      <c r="B110" s="1205"/>
      <c r="C110" s="1205"/>
      <c r="D110" s="1211"/>
      <c r="E110" s="1211"/>
      <c r="F110" s="1223"/>
      <c r="G110" s="1211"/>
      <c r="H110" s="1864"/>
      <c r="I110" s="1941"/>
      <c r="J110" s="845"/>
      <c r="K110" s="1350" t="s">
        <v>1587</v>
      </c>
      <c r="L110" s="1319" t="s">
        <v>464</v>
      </c>
      <c r="M110" s="666">
        <v>45000</v>
      </c>
      <c r="N110" s="1509" t="s">
        <v>1819</v>
      </c>
      <c r="O110" s="1466"/>
      <c r="P110" s="1465">
        <v>45000000</v>
      </c>
      <c r="Q110" s="1462">
        <v>1</v>
      </c>
      <c r="R110" s="1452"/>
      <c r="S110" s="1452"/>
      <c r="T110" s="1452"/>
      <c r="U110" s="1452"/>
      <c r="V110" s="1452"/>
      <c r="W110" s="1452"/>
      <c r="X110" s="1452"/>
    </row>
    <row r="111" spans="1:24" ht="18" customHeight="1">
      <c r="A111" s="340"/>
      <c r="B111" s="344"/>
      <c r="C111" s="317" t="s">
        <v>314</v>
      </c>
      <c r="D111" s="342"/>
      <c r="E111" s="342"/>
      <c r="F111" s="342"/>
      <c r="G111" s="343"/>
      <c r="H111" s="1866">
        <f>H112+H175</f>
        <v>778370</v>
      </c>
      <c r="I111" s="1857">
        <v>747817</v>
      </c>
      <c r="J111" s="601">
        <f>H111-I111</f>
        <v>30553</v>
      </c>
      <c r="K111" s="540"/>
      <c r="L111" s="541"/>
      <c r="M111" s="668"/>
      <c r="N111" s="2142"/>
      <c r="O111" s="1428"/>
      <c r="P111" s="1428"/>
      <c r="Q111" s="1428"/>
      <c r="R111" s="1428"/>
      <c r="S111" s="1428"/>
      <c r="T111" s="1428"/>
      <c r="U111" s="1428"/>
      <c r="V111" s="389"/>
      <c r="W111" s="389"/>
      <c r="X111" s="389"/>
    </row>
    <row r="112" spans="1:24" ht="18" customHeight="1">
      <c r="A112" s="340"/>
      <c r="B112" s="344"/>
      <c r="C112" s="346"/>
      <c r="D112" s="341" t="s">
        <v>1492</v>
      </c>
      <c r="E112" s="342"/>
      <c r="F112" s="342"/>
      <c r="G112" s="343"/>
      <c r="H112" s="1866">
        <f>H113+H124</f>
        <v>703210</v>
      </c>
      <c r="I112" s="1858">
        <v>677961</v>
      </c>
      <c r="J112" s="601">
        <f t="shared" ref="J112:J115" si="2">H112-I112</f>
        <v>25249</v>
      </c>
      <c r="K112" s="425"/>
      <c r="L112" s="777"/>
      <c r="M112" s="668"/>
      <c r="N112" s="2141"/>
      <c r="O112" s="609"/>
      <c r="P112" s="610"/>
      <c r="Q112" s="1426"/>
      <c r="R112" s="1426"/>
      <c r="S112" s="1426"/>
      <c r="T112" s="1427"/>
      <c r="U112" s="387"/>
      <c r="V112" s="389"/>
      <c r="W112" s="389"/>
      <c r="X112" s="389"/>
    </row>
    <row r="113" spans="1:24" ht="18" customHeight="1">
      <c r="A113" s="340"/>
      <c r="B113" s="344"/>
      <c r="C113" s="702"/>
      <c r="D113" s="348"/>
      <c r="E113" s="341" t="s">
        <v>984</v>
      </c>
      <c r="F113" s="342"/>
      <c r="G113" s="343"/>
      <c r="H113" s="1866">
        <f>H114</f>
        <v>129619</v>
      </c>
      <c r="I113" s="1857">
        <v>126328</v>
      </c>
      <c r="J113" s="667">
        <f t="shared" si="2"/>
        <v>3291</v>
      </c>
      <c r="K113" s="427"/>
      <c r="L113" s="428"/>
      <c r="M113" s="668"/>
      <c r="N113" s="2141"/>
      <c r="O113" s="609"/>
      <c r="P113" s="610"/>
      <c r="Q113" s="1426"/>
      <c r="R113" s="1426"/>
      <c r="S113" s="1426"/>
      <c r="T113" s="1429"/>
      <c r="U113" s="387"/>
      <c r="V113" s="389"/>
      <c r="W113" s="389"/>
      <c r="X113" s="389"/>
    </row>
    <row r="114" spans="1:24" ht="18" customHeight="1">
      <c r="A114" s="1229"/>
      <c r="B114" s="1230"/>
      <c r="C114" s="1231"/>
      <c r="D114" s="1232"/>
      <c r="E114" s="1233"/>
      <c r="F114" s="1234" t="s">
        <v>444</v>
      </c>
      <c r="G114" s="1235"/>
      <c r="H114" s="1864">
        <f>H115</f>
        <v>129619</v>
      </c>
      <c r="I114" s="1952">
        <v>126328</v>
      </c>
      <c r="J114" s="595">
        <f t="shared" si="2"/>
        <v>3291</v>
      </c>
      <c r="K114" s="1530"/>
      <c r="L114" s="1351"/>
      <c r="M114" s="1078"/>
      <c r="N114" s="2153"/>
      <c r="O114" s="1467"/>
      <c r="P114" s="1467"/>
      <c r="Q114" s="1467"/>
      <c r="R114" s="1467"/>
      <c r="S114" s="1467"/>
      <c r="T114" s="1467"/>
      <c r="U114" s="1467"/>
      <c r="V114" s="1467"/>
      <c r="W114" s="1467"/>
      <c r="X114" s="1467"/>
    </row>
    <row r="115" spans="1:24" ht="18" customHeight="1">
      <c r="A115" s="1229"/>
      <c r="B115" s="1230"/>
      <c r="C115" s="1230"/>
      <c r="D115" s="1236"/>
      <c r="E115" s="1237"/>
      <c r="F115" s="1237"/>
      <c r="G115" s="1238" t="s">
        <v>447</v>
      </c>
      <c r="H115" s="683">
        <f>M115</f>
        <v>129619</v>
      </c>
      <c r="I115" s="1953">
        <v>126328</v>
      </c>
      <c r="J115" s="590">
        <f t="shared" si="2"/>
        <v>3291</v>
      </c>
      <c r="K115" s="1536" t="s">
        <v>1588</v>
      </c>
      <c r="L115" s="1329"/>
      <c r="M115" s="1824">
        <f>M116+M122</f>
        <v>129619</v>
      </c>
      <c r="N115" s="2153"/>
      <c r="O115" s="1468"/>
      <c r="P115" s="1467"/>
      <c r="Q115" s="1467"/>
      <c r="R115" s="1467"/>
      <c r="S115" s="1467"/>
      <c r="T115" s="1467"/>
      <c r="U115" s="1467"/>
      <c r="V115" s="1467"/>
      <c r="W115" s="1467"/>
      <c r="X115" s="1467"/>
    </row>
    <row r="116" spans="1:24" ht="18" customHeight="1">
      <c r="A116" s="1229"/>
      <c r="B116" s="1230"/>
      <c r="C116" s="1230"/>
      <c r="D116" s="1236"/>
      <c r="E116" s="1237"/>
      <c r="F116" s="1237"/>
      <c r="G116" s="1239"/>
      <c r="H116" s="683"/>
      <c r="I116" s="1954"/>
      <c r="J116" s="845"/>
      <c r="K116" s="1353" t="s">
        <v>1589</v>
      </c>
      <c r="L116" s="1312"/>
      <c r="M116" s="1824">
        <f>SUM(M117:M121)</f>
        <v>111619</v>
      </c>
      <c r="N116" s="1503" t="s">
        <v>1820</v>
      </c>
      <c r="O116" s="1468"/>
      <c r="P116" s="1430"/>
      <c r="Q116" s="1467"/>
      <c r="R116" s="1467"/>
      <c r="S116" s="1467"/>
      <c r="T116" s="1467"/>
      <c r="U116" s="1467"/>
      <c r="V116" s="1467"/>
      <c r="W116" s="1467"/>
      <c r="X116" s="1467"/>
    </row>
    <row r="117" spans="1:24" ht="18" customHeight="1">
      <c r="A117" s="1229"/>
      <c r="B117" s="1230"/>
      <c r="C117" s="1230"/>
      <c r="D117" s="1236"/>
      <c r="E117" s="1237"/>
      <c r="F117" s="1237"/>
      <c r="G117" s="1239"/>
      <c r="H117" s="683"/>
      <c r="I117" s="1954"/>
      <c r="J117" s="845"/>
      <c r="K117" s="1354" t="s">
        <v>1590</v>
      </c>
      <c r="L117" s="1355" t="s">
        <v>464</v>
      </c>
      <c r="M117" s="666">
        <v>70762</v>
      </c>
      <c r="N117" s="1503"/>
      <c r="O117" s="1469"/>
      <c r="P117" s="1470">
        <v>11340</v>
      </c>
      <c r="Q117" s="1471">
        <v>3</v>
      </c>
      <c r="R117" s="1471">
        <v>8</v>
      </c>
      <c r="S117" s="1471">
        <v>5</v>
      </c>
      <c r="T117" s="1471">
        <v>52</v>
      </c>
      <c r="U117" s="1467"/>
      <c r="V117" s="1467"/>
      <c r="W117" s="1467"/>
      <c r="X117" s="1467"/>
    </row>
    <row r="118" spans="1:24" ht="18" customHeight="1">
      <c r="A118" s="1229"/>
      <c r="B118" s="1230"/>
      <c r="C118" s="1230"/>
      <c r="D118" s="1236"/>
      <c r="E118" s="1237"/>
      <c r="F118" s="1237"/>
      <c r="G118" s="1239"/>
      <c r="H118" s="683"/>
      <c r="I118" s="1954"/>
      <c r="J118" s="845"/>
      <c r="K118" s="1354" t="s">
        <v>1591</v>
      </c>
      <c r="L118" s="1355" t="s">
        <v>464</v>
      </c>
      <c r="M118" s="666">
        <v>21228</v>
      </c>
      <c r="N118" s="1503"/>
      <c r="O118" s="1469"/>
      <c r="P118" s="1470">
        <v>11340</v>
      </c>
      <c r="Q118" s="1471">
        <v>3</v>
      </c>
      <c r="R118" s="1471">
        <v>8</v>
      </c>
      <c r="S118" s="1471">
        <v>1.5</v>
      </c>
      <c r="T118" s="1471">
        <v>52</v>
      </c>
      <c r="U118" s="1467"/>
      <c r="V118" s="1467"/>
      <c r="W118" s="1467"/>
      <c r="X118" s="1467"/>
    </row>
    <row r="119" spans="1:24" ht="18" customHeight="1">
      <c r="A119" s="1229"/>
      <c r="B119" s="1230"/>
      <c r="C119" s="1230"/>
      <c r="D119" s="1236"/>
      <c r="E119" s="1237"/>
      <c r="F119" s="1237"/>
      <c r="G119" s="1239"/>
      <c r="H119" s="683"/>
      <c r="I119" s="1954"/>
      <c r="J119" s="590"/>
      <c r="K119" s="1356" t="s">
        <v>1592</v>
      </c>
      <c r="L119" s="1355" t="s">
        <v>464</v>
      </c>
      <c r="M119" s="666">
        <v>2211</v>
      </c>
      <c r="N119" s="1503"/>
      <c r="O119" s="1469"/>
      <c r="P119" s="1470">
        <v>11340</v>
      </c>
      <c r="Q119" s="1471">
        <v>3</v>
      </c>
      <c r="R119" s="1471">
        <v>0.5</v>
      </c>
      <c r="S119" s="1471">
        <v>5</v>
      </c>
      <c r="T119" s="1471">
        <v>0.5</v>
      </c>
      <c r="U119" s="1467">
        <v>52</v>
      </c>
      <c r="V119" s="1467"/>
      <c r="W119" s="1467"/>
      <c r="X119" s="1467"/>
    </row>
    <row r="120" spans="1:24" ht="18" customHeight="1">
      <c r="A120" s="1229"/>
      <c r="B120" s="1230"/>
      <c r="C120" s="1230"/>
      <c r="D120" s="1236"/>
      <c r="E120" s="1237"/>
      <c r="F120" s="1237"/>
      <c r="G120" s="1239"/>
      <c r="H120" s="683"/>
      <c r="I120" s="1954"/>
      <c r="J120" s="590"/>
      <c r="K120" s="1356" t="s">
        <v>1593</v>
      </c>
      <c r="L120" s="1355" t="s">
        <v>464</v>
      </c>
      <c r="M120" s="666">
        <v>3266</v>
      </c>
      <c r="N120" s="1503"/>
      <c r="O120" s="1469"/>
      <c r="P120" s="1470">
        <v>11340</v>
      </c>
      <c r="Q120" s="1471">
        <v>3</v>
      </c>
      <c r="R120" s="1471">
        <v>8</v>
      </c>
      <c r="S120" s="1471">
        <v>12</v>
      </c>
      <c r="T120" s="1471"/>
      <c r="U120" s="1467"/>
      <c r="V120" s="1467"/>
      <c r="W120" s="1467"/>
      <c r="X120" s="1467"/>
    </row>
    <row r="121" spans="1:24" ht="18" customHeight="1">
      <c r="A121" s="1229"/>
      <c r="B121" s="1230"/>
      <c r="C121" s="1230"/>
      <c r="D121" s="1236"/>
      <c r="E121" s="1237"/>
      <c r="F121" s="1237"/>
      <c r="G121" s="1239"/>
      <c r="H121" s="683"/>
      <c r="I121" s="1954"/>
      <c r="J121" s="590"/>
      <c r="K121" s="1356" t="s">
        <v>1594</v>
      </c>
      <c r="L121" s="1355" t="s">
        <v>464</v>
      </c>
      <c r="M121" s="666">
        <v>14152</v>
      </c>
      <c r="N121" s="1503"/>
      <c r="O121" s="1469"/>
      <c r="P121" s="1470">
        <v>11340</v>
      </c>
      <c r="Q121" s="1471">
        <v>3</v>
      </c>
      <c r="R121" s="1471">
        <v>8</v>
      </c>
      <c r="S121" s="1471">
        <v>52</v>
      </c>
      <c r="T121" s="1471"/>
      <c r="U121" s="1467"/>
      <c r="V121" s="1467"/>
      <c r="W121" s="1467"/>
      <c r="X121" s="1467"/>
    </row>
    <row r="122" spans="1:24" ht="18" customHeight="1">
      <c r="A122" s="1229"/>
      <c r="B122" s="1230"/>
      <c r="C122" s="1230"/>
      <c r="D122" s="1236"/>
      <c r="E122" s="1237"/>
      <c r="F122" s="1237"/>
      <c r="G122" s="1239"/>
      <c r="H122" s="683"/>
      <c r="I122" s="1954"/>
      <c r="J122" s="590"/>
      <c r="K122" s="1531" t="s">
        <v>1595</v>
      </c>
      <c r="L122" s="1355"/>
      <c r="M122" s="1824">
        <f>M123</f>
        <v>18000</v>
      </c>
      <c r="N122" s="1503" t="s">
        <v>1821</v>
      </c>
      <c r="O122" s="1469"/>
      <c r="P122" s="1470"/>
      <c r="Q122" s="1471"/>
      <c r="R122" s="1471"/>
      <c r="S122" s="1471"/>
      <c r="T122" s="1471"/>
      <c r="U122" s="1467"/>
      <c r="V122" s="1467"/>
      <c r="W122" s="1467"/>
      <c r="X122" s="1467"/>
    </row>
    <row r="123" spans="1:24" ht="18" customHeight="1">
      <c r="A123" s="1229"/>
      <c r="B123" s="1230"/>
      <c r="C123" s="1230"/>
      <c r="D123" s="1236"/>
      <c r="E123" s="1237"/>
      <c r="F123" s="1237"/>
      <c r="G123" s="1239"/>
      <c r="H123" s="1864"/>
      <c r="I123" s="1954"/>
      <c r="J123" s="590"/>
      <c r="K123" s="1356" t="s">
        <v>1596</v>
      </c>
      <c r="L123" s="1355" t="s">
        <v>464</v>
      </c>
      <c r="M123" s="666">
        <v>18000</v>
      </c>
      <c r="N123" s="1503"/>
      <c r="O123" s="1469"/>
      <c r="P123" s="1470">
        <v>1500000</v>
      </c>
      <c r="Q123" s="1471">
        <v>1</v>
      </c>
      <c r="R123" s="1471">
        <v>12</v>
      </c>
      <c r="S123" s="1471"/>
      <c r="T123" s="1471"/>
      <c r="U123" s="1467"/>
      <c r="V123" s="1467"/>
      <c r="W123" s="1467"/>
      <c r="X123" s="1467"/>
    </row>
    <row r="124" spans="1:24" ht="18" customHeight="1">
      <c r="A124" s="340"/>
      <c r="B124" s="344"/>
      <c r="C124" s="347"/>
      <c r="D124" s="347"/>
      <c r="E124" s="342" t="s">
        <v>987</v>
      </c>
      <c r="F124" s="342"/>
      <c r="G124" s="343"/>
      <c r="H124" s="1955">
        <f>H125</f>
        <v>573591</v>
      </c>
      <c r="I124" s="1867">
        <v>551633</v>
      </c>
      <c r="J124" s="601">
        <f>H124-I124</f>
        <v>21958</v>
      </c>
      <c r="K124" s="427"/>
      <c r="L124" s="428"/>
      <c r="M124" s="1534"/>
      <c r="N124" s="2141"/>
      <c r="O124" s="609"/>
      <c r="P124" s="610"/>
      <c r="Q124" s="1426"/>
      <c r="R124" s="1426"/>
      <c r="S124" s="1426"/>
      <c r="T124" s="1429"/>
      <c r="U124" s="387"/>
      <c r="V124" s="389"/>
      <c r="W124" s="389"/>
      <c r="X124" s="389"/>
    </row>
    <row r="125" spans="1:24" ht="18" customHeight="1">
      <c r="A125" s="1240"/>
      <c r="B125" s="1241"/>
      <c r="C125" s="1241"/>
      <c r="D125" s="1230"/>
      <c r="E125" s="1242"/>
      <c r="F125" s="1234" t="s">
        <v>402</v>
      </c>
      <c r="G125" s="1243"/>
      <c r="H125" s="1868">
        <f>H126+H140+H142+H160+H163+H166</f>
        <v>573591</v>
      </c>
      <c r="I125" s="1956">
        <v>551633</v>
      </c>
      <c r="J125" s="597">
        <f t="shared" ref="J125:J126" si="3">H125-I125</f>
        <v>21958</v>
      </c>
      <c r="K125" s="1529"/>
      <c r="L125" s="1357"/>
      <c r="M125" s="668"/>
      <c r="N125" s="2154"/>
      <c r="O125" s="1472"/>
      <c r="P125" s="1472"/>
      <c r="Q125" s="1472"/>
      <c r="R125" s="1472"/>
      <c r="S125" s="1472"/>
      <c r="T125" s="1472"/>
      <c r="U125" s="1472"/>
      <c r="V125" s="1472"/>
      <c r="W125" s="1472"/>
      <c r="X125" s="1472"/>
    </row>
    <row r="126" spans="1:24" ht="18" customHeight="1">
      <c r="A126" s="1240"/>
      <c r="B126" s="1241"/>
      <c r="C126" s="1241"/>
      <c r="D126" s="1241"/>
      <c r="E126" s="1241"/>
      <c r="F126" s="1241"/>
      <c r="G126" s="1230" t="s">
        <v>403</v>
      </c>
      <c r="H126" s="1862">
        <f>M126</f>
        <v>21460</v>
      </c>
      <c r="I126" s="1956">
        <v>23560</v>
      </c>
      <c r="J126" s="594">
        <f t="shared" si="3"/>
        <v>-2100</v>
      </c>
      <c r="K126" s="1358" t="s">
        <v>1597</v>
      </c>
      <c r="L126" s="1359"/>
      <c r="M126" s="1824">
        <f>M127+M128+M129+M130+M131+M132+M133+M134+M135+M136+M137+M138+M139</f>
        <v>21460</v>
      </c>
      <c r="N126" s="2154"/>
      <c r="O126" s="1472"/>
      <c r="P126" s="1472"/>
      <c r="Q126" s="1472"/>
      <c r="R126" s="1472"/>
      <c r="S126" s="1472"/>
      <c r="T126" s="1472"/>
      <c r="U126" s="1472"/>
      <c r="V126" s="1472"/>
      <c r="W126" s="1472"/>
      <c r="X126" s="1472"/>
    </row>
    <row r="127" spans="1:24" ht="18" customHeight="1">
      <c r="A127" s="1240"/>
      <c r="B127" s="1241"/>
      <c r="C127" s="1241"/>
      <c r="D127" s="1244"/>
      <c r="E127" s="1244"/>
      <c r="F127" s="1244"/>
      <c r="G127" s="1236"/>
      <c r="H127" s="1862"/>
      <c r="I127" s="1957"/>
      <c r="J127" s="590"/>
      <c r="K127" s="1399" t="s">
        <v>1598</v>
      </c>
      <c r="L127" s="1355" t="s">
        <v>464</v>
      </c>
      <c r="M127" s="666">
        <v>416</v>
      </c>
      <c r="N127" s="1509" t="s">
        <v>1822</v>
      </c>
      <c r="O127" s="1472"/>
      <c r="P127" s="1473">
        <v>26000</v>
      </c>
      <c r="Q127" s="1474">
        <v>16</v>
      </c>
      <c r="R127" s="1474"/>
      <c r="S127" s="1474"/>
      <c r="T127" s="1472"/>
      <c r="U127" s="1472"/>
      <c r="V127" s="1472"/>
      <c r="W127" s="1472"/>
      <c r="X127" s="1472"/>
    </row>
    <row r="128" spans="1:24" ht="18" customHeight="1">
      <c r="A128" s="1240"/>
      <c r="B128" s="1241"/>
      <c r="C128" s="1241"/>
      <c r="D128" s="1244"/>
      <c r="E128" s="1244"/>
      <c r="F128" s="1244"/>
      <c r="G128" s="1244"/>
      <c r="H128" s="1862"/>
      <c r="I128" s="1957"/>
      <c r="J128" s="590"/>
      <c r="K128" s="1399" t="s">
        <v>1599</v>
      </c>
      <c r="L128" s="1040" t="s">
        <v>242</v>
      </c>
      <c r="M128" s="666">
        <v>630</v>
      </c>
      <c r="N128" s="1509" t="s">
        <v>1823</v>
      </c>
      <c r="O128" s="1472"/>
      <c r="P128" s="1473">
        <v>45000</v>
      </c>
      <c r="Q128" s="1474">
        <v>14</v>
      </c>
      <c r="R128" s="1474"/>
      <c r="S128" s="1474"/>
      <c r="T128" s="1472"/>
      <c r="U128" s="1472"/>
      <c r="V128" s="1472"/>
      <c r="W128" s="1472"/>
      <c r="X128" s="1472"/>
    </row>
    <row r="129" spans="1:24" ht="18" customHeight="1">
      <c r="A129" s="1240"/>
      <c r="B129" s="1241"/>
      <c r="C129" s="1241"/>
      <c r="D129" s="1244"/>
      <c r="E129" s="1244"/>
      <c r="F129" s="1244"/>
      <c r="G129" s="1244"/>
      <c r="H129" s="1862"/>
      <c r="I129" s="1957"/>
      <c r="J129" s="590"/>
      <c r="K129" s="1399" t="s">
        <v>1600</v>
      </c>
      <c r="L129" s="1040" t="s">
        <v>242</v>
      </c>
      <c r="M129" s="666">
        <v>800</v>
      </c>
      <c r="N129" s="1509" t="s">
        <v>1824</v>
      </c>
      <c r="O129" s="1472"/>
      <c r="P129" s="1473">
        <v>400</v>
      </c>
      <c r="Q129" s="1474">
        <v>2000</v>
      </c>
      <c r="R129" s="1474"/>
      <c r="S129" s="1474"/>
      <c r="T129" s="1472"/>
      <c r="U129" s="1472"/>
      <c r="V129" s="1472"/>
      <c r="W129" s="1472"/>
      <c r="X129" s="1472"/>
    </row>
    <row r="130" spans="1:24" ht="18" customHeight="1">
      <c r="A130" s="1240"/>
      <c r="B130" s="1241"/>
      <c r="C130" s="1241"/>
      <c r="D130" s="1244"/>
      <c r="E130" s="1244"/>
      <c r="F130" s="1244"/>
      <c r="G130" s="1244"/>
      <c r="H130" s="1862"/>
      <c r="I130" s="1957"/>
      <c r="J130" s="845"/>
      <c r="K130" s="1360" t="s">
        <v>1601</v>
      </c>
      <c r="L130" s="1040" t="s">
        <v>242</v>
      </c>
      <c r="M130" s="666">
        <v>540</v>
      </c>
      <c r="N130" s="1509" t="s">
        <v>1825</v>
      </c>
      <c r="O130" s="1472"/>
      <c r="P130" s="1473">
        <v>45000</v>
      </c>
      <c r="Q130" s="1474">
        <v>12</v>
      </c>
      <c r="R130" s="1474"/>
      <c r="S130" s="1474"/>
      <c r="T130" s="1472"/>
      <c r="U130" s="1472"/>
      <c r="V130" s="1472"/>
      <c r="W130" s="1472"/>
      <c r="X130" s="1472"/>
    </row>
    <row r="131" spans="1:24" ht="18" customHeight="1">
      <c r="A131" s="1240"/>
      <c r="B131" s="1241"/>
      <c r="C131" s="1241"/>
      <c r="D131" s="1244"/>
      <c r="E131" s="1244"/>
      <c r="F131" s="1244"/>
      <c r="G131" s="1244"/>
      <c r="H131" s="1862"/>
      <c r="I131" s="1957"/>
      <c r="J131" s="845"/>
      <c r="K131" s="1360" t="s">
        <v>1602</v>
      </c>
      <c r="L131" s="1040" t="s">
        <v>242</v>
      </c>
      <c r="M131" s="666">
        <v>1440</v>
      </c>
      <c r="N131" s="1509" t="s">
        <v>1826</v>
      </c>
      <c r="O131" s="1472"/>
      <c r="P131" s="1473">
        <v>1200</v>
      </c>
      <c r="Q131" s="1474">
        <v>100</v>
      </c>
      <c r="R131" s="1474">
        <v>12</v>
      </c>
      <c r="S131" s="1474"/>
      <c r="T131" s="1472"/>
      <c r="U131" s="1472"/>
      <c r="V131" s="1472"/>
      <c r="W131" s="1472"/>
      <c r="X131" s="1472"/>
    </row>
    <row r="132" spans="1:24" ht="18" customHeight="1">
      <c r="A132" s="1240"/>
      <c r="B132" s="1241"/>
      <c r="C132" s="1241"/>
      <c r="D132" s="1244"/>
      <c r="E132" s="1244"/>
      <c r="F132" s="1244"/>
      <c r="G132" s="1244"/>
      <c r="H132" s="1862"/>
      <c r="I132" s="1957"/>
      <c r="J132" s="845"/>
      <c r="K132" s="1322" t="s">
        <v>1603</v>
      </c>
      <c r="L132" s="1040" t="s">
        <v>1431</v>
      </c>
      <c r="M132" s="666">
        <v>3000</v>
      </c>
      <c r="N132" s="1509" t="s">
        <v>1827</v>
      </c>
      <c r="O132" s="1472"/>
      <c r="P132" s="1473">
        <v>1000000</v>
      </c>
      <c r="Q132" s="1474">
        <v>3</v>
      </c>
      <c r="R132" s="1474"/>
      <c r="S132" s="1474"/>
      <c r="T132" s="1472"/>
      <c r="U132" s="1472"/>
      <c r="V132" s="1472"/>
      <c r="W132" s="1472"/>
      <c r="X132" s="1472"/>
    </row>
    <row r="133" spans="1:24" ht="18" customHeight="1">
      <c r="A133" s="1240"/>
      <c r="B133" s="1241"/>
      <c r="C133" s="1241"/>
      <c r="D133" s="1244"/>
      <c r="E133" s="1244"/>
      <c r="F133" s="1244"/>
      <c r="G133" s="1244"/>
      <c r="H133" s="1862"/>
      <c r="I133" s="1957"/>
      <c r="J133" s="845"/>
      <c r="K133" s="1360" t="s">
        <v>1604</v>
      </c>
      <c r="L133" s="1040" t="s">
        <v>1431</v>
      </c>
      <c r="M133" s="666">
        <v>1584</v>
      </c>
      <c r="N133" s="1509" t="s">
        <v>1828</v>
      </c>
      <c r="O133" s="1472"/>
      <c r="P133" s="1473">
        <v>66000</v>
      </c>
      <c r="Q133" s="1474">
        <v>4</v>
      </c>
      <c r="R133" s="1474">
        <v>6</v>
      </c>
      <c r="S133" s="1474"/>
      <c r="T133" s="1472"/>
      <c r="U133" s="1472"/>
      <c r="V133" s="1472"/>
      <c r="W133" s="1472"/>
      <c r="X133" s="1472"/>
    </row>
    <row r="134" spans="1:24" ht="18" customHeight="1">
      <c r="A134" s="1240"/>
      <c r="B134" s="1241"/>
      <c r="C134" s="1241"/>
      <c r="D134" s="1244"/>
      <c r="E134" s="1244"/>
      <c r="F134" s="1244"/>
      <c r="G134" s="1244"/>
      <c r="H134" s="1862"/>
      <c r="I134" s="1957"/>
      <c r="J134" s="845"/>
      <c r="K134" s="1322" t="s">
        <v>1605</v>
      </c>
      <c r="L134" s="1040" t="s">
        <v>242</v>
      </c>
      <c r="M134" s="666">
        <v>6000</v>
      </c>
      <c r="N134" s="1509" t="s">
        <v>1829</v>
      </c>
      <c r="O134" s="1472"/>
      <c r="P134" s="1473">
        <v>500000</v>
      </c>
      <c r="Q134" s="1474">
        <v>12</v>
      </c>
      <c r="R134" s="1474"/>
      <c r="S134" s="1472"/>
      <c r="T134" s="1472"/>
      <c r="U134" s="1472"/>
      <c r="V134" s="1472"/>
      <c r="W134" s="1472"/>
      <c r="X134" s="1472"/>
    </row>
    <row r="135" spans="1:24" ht="18" customHeight="1">
      <c r="A135" s="1240"/>
      <c r="B135" s="1241"/>
      <c r="C135" s="1241"/>
      <c r="D135" s="1244"/>
      <c r="E135" s="1244"/>
      <c r="F135" s="1244"/>
      <c r="G135" s="1244"/>
      <c r="H135" s="1862"/>
      <c r="I135" s="1957"/>
      <c r="J135" s="845"/>
      <c r="K135" s="1360" t="s">
        <v>1606</v>
      </c>
      <c r="L135" s="1040" t="s">
        <v>1185</v>
      </c>
      <c r="M135" s="666">
        <v>500</v>
      </c>
      <c r="N135" s="1509" t="s">
        <v>1830</v>
      </c>
      <c r="O135" s="1472"/>
      <c r="P135" s="1473">
        <v>250000</v>
      </c>
      <c r="Q135" s="1474">
        <v>2</v>
      </c>
      <c r="R135" s="1474"/>
      <c r="S135" s="1474"/>
      <c r="T135" s="1472"/>
      <c r="U135" s="1472"/>
      <c r="V135" s="1472"/>
      <c r="W135" s="1472"/>
      <c r="X135" s="1472"/>
    </row>
    <row r="136" spans="1:24" ht="18" customHeight="1">
      <c r="A136" s="1240"/>
      <c r="B136" s="1241"/>
      <c r="C136" s="1241"/>
      <c r="D136" s="1244"/>
      <c r="E136" s="1244"/>
      <c r="F136" s="1244"/>
      <c r="G136" s="1244"/>
      <c r="H136" s="1862"/>
      <c r="I136" s="1957"/>
      <c r="J136" s="845"/>
      <c r="K136" s="1360" t="s">
        <v>1607</v>
      </c>
      <c r="L136" s="1040" t="s">
        <v>1185</v>
      </c>
      <c r="M136" s="666">
        <v>900</v>
      </c>
      <c r="N136" s="1509" t="s">
        <v>1831</v>
      </c>
      <c r="O136" s="1472"/>
      <c r="P136" s="1473">
        <v>75000</v>
      </c>
      <c r="Q136" s="1474">
        <v>12</v>
      </c>
      <c r="R136" s="1474"/>
      <c r="S136" s="1474"/>
      <c r="T136" s="1472"/>
      <c r="U136" s="1472"/>
      <c r="V136" s="1472"/>
      <c r="W136" s="1472"/>
      <c r="X136" s="1472"/>
    </row>
    <row r="137" spans="1:24" ht="18" customHeight="1">
      <c r="A137" s="1240"/>
      <c r="B137" s="1241"/>
      <c r="C137" s="1241"/>
      <c r="D137" s="1244"/>
      <c r="E137" s="1244"/>
      <c r="F137" s="1244"/>
      <c r="G137" s="1244"/>
      <c r="H137" s="1862"/>
      <c r="I137" s="1957"/>
      <c r="J137" s="845"/>
      <c r="K137" s="1360" t="s">
        <v>1608</v>
      </c>
      <c r="L137" s="1040" t="s">
        <v>1185</v>
      </c>
      <c r="M137" s="666">
        <v>2000</v>
      </c>
      <c r="N137" s="1509" t="s">
        <v>1832</v>
      </c>
      <c r="O137" s="1472"/>
      <c r="P137" s="1473">
        <v>400000</v>
      </c>
      <c r="Q137" s="1474">
        <v>5</v>
      </c>
      <c r="R137" s="1474"/>
      <c r="S137" s="1474"/>
      <c r="T137" s="1472"/>
      <c r="U137" s="1472"/>
      <c r="V137" s="1472"/>
      <c r="W137" s="1472"/>
      <c r="X137" s="1472"/>
    </row>
    <row r="138" spans="1:24" ht="18" customHeight="1">
      <c r="A138" s="1240"/>
      <c r="B138" s="1241"/>
      <c r="C138" s="1241"/>
      <c r="D138" s="1244"/>
      <c r="E138" s="1244"/>
      <c r="F138" s="1244"/>
      <c r="G138" s="1244"/>
      <c r="H138" s="1862"/>
      <c r="I138" s="1957"/>
      <c r="J138" s="845"/>
      <c r="K138" s="1360" t="s">
        <v>1609</v>
      </c>
      <c r="L138" s="1040" t="s">
        <v>242</v>
      </c>
      <c r="M138" s="666">
        <v>1250</v>
      </c>
      <c r="N138" s="1509" t="s">
        <v>1833</v>
      </c>
      <c r="O138" s="1472"/>
      <c r="P138" s="1473">
        <v>250000</v>
      </c>
      <c r="Q138" s="1474">
        <v>5</v>
      </c>
      <c r="R138" s="1474"/>
      <c r="S138" s="1474"/>
      <c r="T138" s="1472"/>
      <c r="U138" s="1472"/>
      <c r="V138" s="1472"/>
      <c r="W138" s="1472"/>
      <c r="X138" s="1472"/>
    </row>
    <row r="139" spans="1:24" ht="18" customHeight="1">
      <c r="A139" s="1240"/>
      <c r="B139" s="1241"/>
      <c r="C139" s="1241"/>
      <c r="D139" s="1244"/>
      <c r="E139" s="1244"/>
      <c r="F139" s="1244"/>
      <c r="G139" s="1245"/>
      <c r="H139" s="1864"/>
      <c r="I139" s="1958"/>
      <c r="J139" s="595"/>
      <c r="K139" s="1417" t="s">
        <v>1610</v>
      </c>
      <c r="L139" s="1174" t="s">
        <v>242</v>
      </c>
      <c r="M139" s="666">
        <v>2400</v>
      </c>
      <c r="N139" s="1509" t="s">
        <v>1834</v>
      </c>
      <c r="O139" s="1472"/>
      <c r="P139" s="1473">
        <v>200000</v>
      </c>
      <c r="Q139" s="1474">
        <v>12</v>
      </c>
      <c r="R139" s="1474"/>
      <c r="S139" s="1474"/>
      <c r="T139" s="1472"/>
      <c r="U139" s="1472"/>
      <c r="V139" s="1472"/>
      <c r="W139" s="1472"/>
      <c r="X139" s="1472"/>
    </row>
    <row r="140" spans="1:24" ht="18" customHeight="1">
      <c r="A140" s="1240"/>
      <c r="B140" s="1241"/>
      <c r="C140" s="1241"/>
      <c r="D140" s="1244"/>
      <c r="E140" s="1244"/>
      <c r="F140" s="1244"/>
      <c r="G140" s="1241" t="s">
        <v>1004</v>
      </c>
      <c r="H140" s="1862">
        <f>M140</f>
        <v>400</v>
      </c>
      <c r="I140" s="1957">
        <v>0</v>
      </c>
      <c r="J140" s="590">
        <f>H140-I140</f>
        <v>400</v>
      </c>
      <c r="K140" s="1362" t="s">
        <v>1004</v>
      </c>
      <c r="L140" s="1040"/>
      <c r="M140" s="1827">
        <f>M141</f>
        <v>400</v>
      </c>
      <c r="N140" s="1509"/>
      <c r="O140" s="1472"/>
      <c r="P140" s="1473"/>
      <c r="Q140" s="1474"/>
      <c r="R140" s="1474"/>
      <c r="S140" s="1474"/>
      <c r="T140" s="1472"/>
      <c r="U140" s="1472"/>
      <c r="V140" s="1472"/>
      <c r="W140" s="1472"/>
      <c r="X140" s="1472"/>
    </row>
    <row r="141" spans="1:24" ht="18" customHeight="1">
      <c r="A141" s="1240"/>
      <c r="B141" s="1241"/>
      <c r="C141" s="1241"/>
      <c r="D141" s="1244"/>
      <c r="E141" s="1244"/>
      <c r="F141" s="1244"/>
      <c r="G141" s="1244"/>
      <c r="H141" s="1864"/>
      <c r="I141" s="1957"/>
      <c r="J141" s="595"/>
      <c r="K141" s="1417" t="s">
        <v>1611</v>
      </c>
      <c r="L141" s="1174" t="s">
        <v>242</v>
      </c>
      <c r="M141" s="1078">
        <v>400</v>
      </c>
      <c r="N141" s="1509" t="s">
        <v>1835</v>
      </c>
      <c r="O141" s="1472"/>
      <c r="P141" s="1473">
        <v>200000</v>
      </c>
      <c r="Q141" s="1474">
        <v>2</v>
      </c>
      <c r="R141" s="1474"/>
      <c r="S141" s="1474"/>
      <c r="T141" s="1472"/>
      <c r="U141" s="1472"/>
      <c r="V141" s="1472"/>
      <c r="W141" s="1472"/>
      <c r="X141" s="1472"/>
    </row>
    <row r="142" spans="1:24" ht="18" customHeight="1">
      <c r="A142" s="1240"/>
      <c r="B142" s="1241"/>
      <c r="C142" s="1241"/>
      <c r="D142" s="1241"/>
      <c r="E142" s="1241"/>
      <c r="F142" s="1241"/>
      <c r="G142" s="1246" t="s">
        <v>406</v>
      </c>
      <c r="H142" s="1876">
        <f>M142</f>
        <v>62010</v>
      </c>
      <c r="I142" s="1953">
        <v>55360</v>
      </c>
      <c r="J142" s="590">
        <f>H142-I142</f>
        <v>6650</v>
      </c>
      <c r="K142" s="1358" t="s">
        <v>406</v>
      </c>
      <c r="L142" s="1359"/>
      <c r="M142" s="1824">
        <f>M143+M144+M145+M146+M147+M148+M149+M150+M151+M152+M153+M154+M155+M156+M157+M158+M159</f>
        <v>62010</v>
      </c>
      <c r="N142" s="2155"/>
      <c r="O142" s="1472"/>
      <c r="P142" s="1473"/>
      <c r="Q142" s="1474"/>
      <c r="R142" s="1474"/>
      <c r="S142" s="1474"/>
      <c r="T142" s="1472"/>
      <c r="U142" s="1472"/>
      <c r="V142" s="1472"/>
      <c r="W142" s="1472"/>
      <c r="X142" s="1472"/>
    </row>
    <row r="143" spans="1:24" ht="18" customHeight="1">
      <c r="A143" s="1240"/>
      <c r="B143" s="1241"/>
      <c r="C143" s="1241"/>
      <c r="D143" s="1244"/>
      <c r="E143" s="1244"/>
      <c r="F143" s="1244"/>
      <c r="G143" s="1236"/>
      <c r="H143" s="683"/>
      <c r="I143" s="1954"/>
      <c r="J143" s="590"/>
      <c r="K143" s="1399" t="s">
        <v>1612</v>
      </c>
      <c r="L143" s="1042" t="s">
        <v>464</v>
      </c>
      <c r="M143" s="666">
        <v>130</v>
      </c>
      <c r="N143" s="1510" t="s">
        <v>1836</v>
      </c>
      <c r="O143" s="1472"/>
      <c r="P143" s="1473">
        <v>130000</v>
      </c>
      <c r="Q143" s="1474">
        <v>1</v>
      </c>
      <c r="R143" s="1474"/>
      <c r="S143" s="1474"/>
      <c r="T143" s="1472"/>
      <c r="U143" s="1472"/>
      <c r="V143" s="1472"/>
      <c r="W143" s="1472"/>
      <c r="X143" s="1472"/>
    </row>
    <row r="144" spans="1:24" ht="18" customHeight="1">
      <c r="A144" s="1240"/>
      <c r="B144" s="1241"/>
      <c r="C144" s="1241"/>
      <c r="D144" s="1244"/>
      <c r="E144" s="1244"/>
      <c r="F144" s="1244"/>
      <c r="G144" s="1236"/>
      <c r="H144" s="683"/>
      <c r="I144" s="1954"/>
      <c r="J144" s="590"/>
      <c r="K144" s="1399" t="s">
        <v>1613</v>
      </c>
      <c r="L144" s="1363" t="s">
        <v>464</v>
      </c>
      <c r="M144" s="666">
        <v>210</v>
      </c>
      <c r="N144" s="1510" t="s">
        <v>1837</v>
      </c>
      <c r="O144" s="1472"/>
      <c r="P144" s="1473">
        <v>210000</v>
      </c>
      <c r="Q144" s="1473">
        <v>1</v>
      </c>
      <c r="R144" s="1473"/>
      <c r="S144" s="1472"/>
      <c r="T144" s="1472"/>
      <c r="U144" s="1472"/>
      <c r="V144" s="1472"/>
      <c r="W144" s="1472"/>
      <c r="X144" s="1472"/>
    </row>
    <row r="145" spans="1:24" ht="18" customHeight="1">
      <c r="A145" s="1240"/>
      <c r="B145" s="1241"/>
      <c r="C145" s="1241"/>
      <c r="D145" s="1244"/>
      <c r="E145" s="1244"/>
      <c r="F145" s="1244"/>
      <c r="G145" s="1236"/>
      <c r="H145" s="683"/>
      <c r="I145" s="1954"/>
      <c r="J145" s="590"/>
      <c r="K145" s="1399" t="s">
        <v>1614</v>
      </c>
      <c r="L145" s="1042" t="s">
        <v>464</v>
      </c>
      <c r="M145" s="666">
        <v>200</v>
      </c>
      <c r="N145" s="1511" t="s">
        <v>1838</v>
      </c>
      <c r="O145" s="1472"/>
      <c r="P145" s="1473">
        <v>50000</v>
      </c>
      <c r="Q145" s="1473">
        <v>4</v>
      </c>
      <c r="R145" s="1473"/>
      <c r="S145" s="1472"/>
      <c r="T145" s="1472"/>
      <c r="U145" s="1472"/>
      <c r="V145" s="1472"/>
      <c r="W145" s="1472"/>
      <c r="X145" s="1472"/>
    </row>
    <row r="146" spans="1:24" ht="18" customHeight="1">
      <c r="A146" s="1240"/>
      <c r="B146" s="1241"/>
      <c r="C146" s="1241"/>
      <c r="D146" s="1244"/>
      <c r="E146" s="1244"/>
      <c r="F146" s="1244"/>
      <c r="G146" s="1236"/>
      <c r="H146" s="683"/>
      <c r="I146" s="1954"/>
      <c r="J146" s="845"/>
      <c r="K146" s="1360" t="s">
        <v>1615</v>
      </c>
      <c r="L146" s="1042" t="s">
        <v>464</v>
      </c>
      <c r="M146" s="666">
        <v>3060</v>
      </c>
      <c r="N146" s="1510" t="s">
        <v>1839</v>
      </c>
      <c r="O146" s="1472"/>
      <c r="P146" s="1473">
        <v>1530000</v>
      </c>
      <c r="Q146" s="1473">
        <v>2</v>
      </c>
      <c r="R146" s="1473"/>
      <c r="S146" s="1472"/>
      <c r="T146" s="1472"/>
      <c r="U146" s="1472"/>
      <c r="V146" s="1472"/>
      <c r="W146" s="1472"/>
      <c r="X146" s="1472"/>
    </row>
    <row r="147" spans="1:24" ht="18" customHeight="1">
      <c r="A147" s="1240"/>
      <c r="B147" s="1241"/>
      <c r="C147" s="1241"/>
      <c r="D147" s="1244"/>
      <c r="E147" s="1244"/>
      <c r="F147" s="1244"/>
      <c r="G147" s="1236"/>
      <c r="H147" s="683"/>
      <c r="I147" s="1954"/>
      <c r="J147" s="845"/>
      <c r="K147" s="1360" t="s">
        <v>1616</v>
      </c>
      <c r="L147" s="1042" t="s">
        <v>464</v>
      </c>
      <c r="M147" s="666">
        <v>2000</v>
      </c>
      <c r="N147" s="1508" t="s">
        <v>1840</v>
      </c>
      <c r="O147" s="1472"/>
      <c r="P147" s="1473">
        <v>1000000</v>
      </c>
      <c r="Q147" s="1473">
        <v>2</v>
      </c>
      <c r="R147" s="1473"/>
      <c r="S147" s="1472"/>
      <c r="T147" s="1472"/>
      <c r="U147" s="1472"/>
      <c r="V147" s="1472"/>
      <c r="W147" s="1472"/>
      <c r="X147" s="1472"/>
    </row>
    <row r="148" spans="1:24" ht="18" customHeight="1">
      <c r="A148" s="1240"/>
      <c r="B148" s="1241"/>
      <c r="C148" s="1241"/>
      <c r="D148" s="1244"/>
      <c r="E148" s="1244"/>
      <c r="F148" s="1244"/>
      <c r="G148" s="1236"/>
      <c r="H148" s="683"/>
      <c r="I148" s="1954"/>
      <c r="J148" s="845"/>
      <c r="K148" s="1360" t="s">
        <v>1617</v>
      </c>
      <c r="L148" s="1042" t="s">
        <v>464</v>
      </c>
      <c r="M148" s="666">
        <v>1500</v>
      </c>
      <c r="N148" s="1511" t="s">
        <v>1841</v>
      </c>
      <c r="O148" s="1472"/>
      <c r="P148" s="1473">
        <v>300000</v>
      </c>
      <c r="Q148" s="1473">
        <v>5</v>
      </c>
      <c r="R148" s="1473"/>
      <c r="S148" s="1472"/>
      <c r="T148" s="1472"/>
      <c r="U148" s="1472"/>
      <c r="V148" s="1472"/>
      <c r="W148" s="1472"/>
      <c r="X148" s="1472"/>
    </row>
    <row r="149" spans="1:24" ht="18" customHeight="1">
      <c r="A149" s="1240"/>
      <c r="B149" s="1241"/>
      <c r="C149" s="1241"/>
      <c r="D149" s="1244"/>
      <c r="E149" s="1247"/>
      <c r="F149" s="1247"/>
      <c r="G149" s="1237"/>
      <c r="H149" s="683"/>
      <c r="I149" s="1954"/>
      <c r="J149" s="845"/>
      <c r="K149" s="1360" t="s">
        <v>1618</v>
      </c>
      <c r="L149" s="1042" t="s">
        <v>464</v>
      </c>
      <c r="M149" s="666">
        <v>1200</v>
      </c>
      <c r="N149" s="1508" t="s">
        <v>1842</v>
      </c>
      <c r="O149" s="1475"/>
      <c r="P149" s="1473">
        <v>1200000</v>
      </c>
      <c r="Q149" s="1473">
        <v>1</v>
      </c>
      <c r="R149" s="1473"/>
      <c r="S149" s="1475"/>
      <c r="T149" s="1475"/>
      <c r="U149" s="1475"/>
      <c r="V149" s="1475"/>
      <c r="W149" s="1475"/>
      <c r="X149" s="1475"/>
    </row>
    <row r="150" spans="1:24" ht="18" customHeight="1">
      <c r="A150" s="1248"/>
      <c r="B150" s="1249"/>
      <c r="C150" s="1249"/>
      <c r="D150" s="1250"/>
      <c r="E150" s="1251"/>
      <c r="F150" s="1251"/>
      <c r="G150" s="1222"/>
      <c r="H150" s="683"/>
      <c r="I150" s="1954"/>
      <c r="J150" s="845"/>
      <c r="K150" s="1360" t="s">
        <v>2306</v>
      </c>
      <c r="L150" s="1042" t="s">
        <v>464</v>
      </c>
      <c r="M150" s="666">
        <v>20700</v>
      </c>
      <c r="N150" s="1510" t="s">
        <v>1843</v>
      </c>
      <c r="O150" s="1476"/>
      <c r="P150" s="1473">
        <v>1725000</v>
      </c>
      <c r="Q150" s="1473">
        <v>12</v>
      </c>
      <c r="R150" s="1473"/>
      <c r="S150" s="1476"/>
      <c r="T150" s="1476"/>
      <c r="U150" s="1476"/>
      <c r="V150" s="1476"/>
      <c r="W150" s="1476"/>
      <c r="X150" s="1476"/>
    </row>
    <row r="151" spans="1:24" ht="18" customHeight="1">
      <c r="A151" s="1240"/>
      <c r="B151" s="1241"/>
      <c r="C151" s="1241"/>
      <c r="D151" s="1244"/>
      <c r="E151" s="1247"/>
      <c r="F151" s="1247"/>
      <c r="G151" s="1237"/>
      <c r="H151" s="683"/>
      <c r="I151" s="1954"/>
      <c r="J151" s="845"/>
      <c r="K151" s="1360" t="s">
        <v>1619</v>
      </c>
      <c r="L151" s="1042" t="s">
        <v>464</v>
      </c>
      <c r="M151" s="666">
        <v>500</v>
      </c>
      <c r="N151" s="1510" t="s">
        <v>1844</v>
      </c>
      <c r="O151" s="1472"/>
      <c r="P151" s="1473">
        <v>500000</v>
      </c>
      <c r="Q151" s="1473">
        <v>1</v>
      </c>
      <c r="R151" s="1473"/>
      <c r="S151" s="1472"/>
      <c r="T151" s="1472"/>
      <c r="U151" s="1472"/>
      <c r="V151" s="1472"/>
      <c r="W151" s="1472"/>
      <c r="X151" s="1472"/>
    </row>
    <row r="152" spans="1:24" ht="18" customHeight="1">
      <c r="A152" s="1240"/>
      <c r="B152" s="1241"/>
      <c r="C152" s="1241"/>
      <c r="D152" s="1244"/>
      <c r="E152" s="1247"/>
      <c r="F152" s="1247"/>
      <c r="G152" s="1237"/>
      <c r="H152" s="683"/>
      <c r="I152" s="1954"/>
      <c r="J152" s="845"/>
      <c r="K152" s="1360" t="s">
        <v>1620</v>
      </c>
      <c r="L152" s="1042" t="s">
        <v>464</v>
      </c>
      <c r="M152" s="666">
        <v>2000</v>
      </c>
      <c r="N152" s="1510" t="s">
        <v>1845</v>
      </c>
      <c r="O152" s="1472"/>
      <c r="P152" s="1473">
        <v>500000</v>
      </c>
      <c r="Q152" s="1473">
        <v>4</v>
      </c>
      <c r="R152" s="1473"/>
      <c r="S152" s="1472"/>
      <c r="T152" s="1472"/>
      <c r="U152" s="1472"/>
      <c r="V152" s="1472"/>
      <c r="W152" s="1472"/>
      <c r="X152" s="1472"/>
    </row>
    <row r="153" spans="1:24" ht="18" customHeight="1">
      <c r="A153" s="1240"/>
      <c r="B153" s="1241"/>
      <c r="C153" s="1241"/>
      <c r="D153" s="1244"/>
      <c r="E153" s="1247"/>
      <c r="F153" s="1247"/>
      <c r="G153" s="1237"/>
      <c r="H153" s="683"/>
      <c r="I153" s="1954"/>
      <c r="J153" s="845"/>
      <c r="K153" s="1360" t="s">
        <v>1621</v>
      </c>
      <c r="L153" s="1042" t="s">
        <v>464</v>
      </c>
      <c r="M153" s="666">
        <v>1500</v>
      </c>
      <c r="N153" s="1510" t="s">
        <v>1846</v>
      </c>
      <c r="O153" s="1472"/>
      <c r="P153" s="1473">
        <v>1500000</v>
      </c>
      <c r="Q153" s="1473">
        <v>1</v>
      </c>
      <c r="R153" s="1473"/>
      <c r="S153" s="1472"/>
      <c r="T153" s="1472"/>
      <c r="U153" s="1472"/>
      <c r="V153" s="1472"/>
      <c r="W153" s="1472"/>
      <c r="X153" s="1472"/>
    </row>
    <row r="154" spans="1:24" ht="18" customHeight="1">
      <c r="A154" s="1248"/>
      <c r="B154" s="1249"/>
      <c r="C154" s="1249"/>
      <c r="D154" s="1250"/>
      <c r="E154" s="1251"/>
      <c r="F154" s="1251"/>
      <c r="G154" s="1222"/>
      <c r="H154" s="683"/>
      <c r="I154" s="1954"/>
      <c r="J154" s="845"/>
      <c r="K154" s="1360" t="s">
        <v>1551</v>
      </c>
      <c r="L154" s="1042" t="s">
        <v>464</v>
      </c>
      <c r="M154" s="666">
        <v>300</v>
      </c>
      <c r="N154" s="1510" t="s">
        <v>1847</v>
      </c>
      <c r="O154" s="1476"/>
      <c r="P154" s="1473">
        <v>300000</v>
      </c>
      <c r="Q154" s="1473">
        <v>1</v>
      </c>
      <c r="R154" s="1473"/>
      <c r="S154" s="1476"/>
      <c r="T154" s="1476"/>
      <c r="U154" s="1476"/>
      <c r="V154" s="1476"/>
      <c r="W154" s="1476"/>
      <c r="X154" s="1476"/>
    </row>
    <row r="155" spans="1:24" ht="18" customHeight="1">
      <c r="A155" s="1240"/>
      <c r="B155" s="1241"/>
      <c r="C155" s="1241"/>
      <c r="D155" s="1244"/>
      <c r="E155" s="1247"/>
      <c r="F155" s="1247"/>
      <c r="G155" s="1237"/>
      <c r="H155" s="683"/>
      <c r="I155" s="1954"/>
      <c r="J155" s="845"/>
      <c r="K155" s="1360" t="s">
        <v>1622</v>
      </c>
      <c r="L155" s="1042" t="s">
        <v>464</v>
      </c>
      <c r="M155" s="666">
        <v>16250</v>
      </c>
      <c r="N155" s="1510" t="s">
        <v>1848</v>
      </c>
      <c r="O155" s="1472"/>
      <c r="P155" s="1473">
        <v>1250000</v>
      </c>
      <c r="Q155" s="1473">
        <v>13</v>
      </c>
      <c r="R155" s="1473"/>
      <c r="S155" s="1472"/>
      <c r="T155" s="1472"/>
      <c r="U155" s="1472"/>
      <c r="V155" s="1472"/>
      <c r="W155" s="1472"/>
      <c r="X155" s="1472"/>
    </row>
    <row r="156" spans="1:24" ht="18" customHeight="1">
      <c r="A156" s="1240"/>
      <c r="B156" s="1241"/>
      <c r="C156" s="1241"/>
      <c r="D156" s="1244"/>
      <c r="E156" s="1247"/>
      <c r="F156" s="1247"/>
      <c r="G156" s="1237"/>
      <c r="H156" s="683"/>
      <c r="I156" s="1954"/>
      <c r="J156" s="845"/>
      <c r="K156" s="1360" t="s">
        <v>1623</v>
      </c>
      <c r="L156" s="1042" t="s">
        <v>464</v>
      </c>
      <c r="M156" s="666">
        <v>3300</v>
      </c>
      <c r="N156" s="1510" t="s">
        <v>1849</v>
      </c>
      <c r="O156" s="1472"/>
      <c r="P156" s="1473">
        <v>825000</v>
      </c>
      <c r="Q156" s="1473">
        <v>4</v>
      </c>
      <c r="R156" s="1473"/>
      <c r="S156" s="1472"/>
      <c r="T156" s="1472"/>
      <c r="U156" s="1472"/>
      <c r="V156" s="1472"/>
      <c r="W156" s="1472"/>
      <c r="X156" s="1472"/>
    </row>
    <row r="157" spans="1:24" ht="18" customHeight="1">
      <c r="A157" s="1240"/>
      <c r="B157" s="1241"/>
      <c r="C157" s="1241"/>
      <c r="D157" s="1244"/>
      <c r="E157" s="1247"/>
      <c r="F157" s="1247"/>
      <c r="G157" s="1237"/>
      <c r="H157" s="683"/>
      <c r="I157" s="1954"/>
      <c r="J157" s="845"/>
      <c r="K157" s="1360" t="s">
        <v>1624</v>
      </c>
      <c r="L157" s="1042" t="s">
        <v>464</v>
      </c>
      <c r="M157" s="666">
        <v>1800</v>
      </c>
      <c r="N157" s="1508" t="s">
        <v>1850</v>
      </c>
      <c r="O157" s="1472"/>
      <c r="P157" s="1473">
        <v>150000</v>
      </c>
      <c r="Q157" s="1473">
        <v>12</v>
      </c>
      <c r="R157" s="1473"/>
      <c r="S157" s="1472"/>
      <c r="T157" s="1472"/>
      <c r="U157" s="1472"/>
      <c r="V157" s="1472"/>
      <c r="W157" s="1472"/>
      <c r="X157" s="1472"/>
    </row>
    <row r="158" spans="1:24" ht="18" customHeight="1">
      <c r="A158" s="1240"/>
      <c r="B158" s="1241"/>
      <c r="C158" s="1241"/>
      <c r="D158" s="1244"/>
      <c r="E158" s="1247"/>
      <c r="F158" s="1247"/>
      <c r="G158" s="1237"/>
      <c r="H158" s="683"/>
      <c r="I158" s="1954"/>
      <c r="J158" s="590"/>
      <c r="K158" s="1399" t="s">
        <v>1625</v>
      </c>
      <c r="L158" s="1042" t="s">
        <v>464</v>
      </c>
      <c r="M158" s="666">
        <v>4000</v>
      </c>
      <c r="N158" s="1508" t="s">
        <v>1851</v>
      </c>
      <c r="O158" s="1472"/>
      <c r="P158" s="1473">
        <v>4000000</v>
      </c>
      <c r="Q158" s="1473">
        <v>1</v>
      </c>
      <c r="R158" s="1473"/>
      <c r="S158" s="1472"/>
      <c r="T158" s="1472"/>
      <c r="U158" s="1472"/>
      <c r="V158" s="1472"/>
      <c r="W158" s="1472"/>
      <c r="X158" s="1472"/>
    </row>
    <row r="159" spans="1:24" ht="18" customHeight="1">
      <c r="A159" s="1240"/>
      <c r="B159" s="1241"/>
      <c r="C159" s="1241"/>
      <c r="D159" s="1244"/>
      <c r="E159" s="1247"/>
      <c r="F159" s="1247"/>
      <c r="G159" s="1237"/>
      <c r="H159" s="683"/>
      <c r="I159" s="1954"/>
      <c r="J159" s="590"/>
      <c r="K159" s="1399" t="s">
        <v>1626</v>
      </c>
      <c r="L159" s="1042" t="s">
        <v>464</v>
      </c>
      <c r="M159" s="666">
        <v>3360</v>
      </c>
      <c r="N159" s="1508" t="s">
        <v>1852</v>
      </c>
      <c r="O159" s="1472"/>
      <c r="P159" s="1473">
        <v>280000</v>
      </c>
      <c r="Q159" s="1473">
        <v>12</v>
      </c>
      <c r="R159" s="1473"/>
      <c r="S159" s="1472"/>
      <c r="T159" s="1472"/>
      <c r="U159" s="1472"/>
      <c r="V159" s="1472"/>
      <c r="W159" s="1472"/>
      <c r="X159" s="1472"/>
    </row>
    <row r="160" spans="1:24" ht="18" customHeight="1">
      <c r="A160" s="1240"/>
      <c r="B160" s="1241"/>
      <c r="C160" s="1241"/>
      <c r="D160" s="1241"/>
      <c r="E160" s="1241"/>
      <c r="F160" s="1241"/>
      <c r="G160" s="1246" t="s">
        <v>408</v>
      </c>
      <c r="H160" s="1876">
        <f>M160</f>
        <v>7728</v>
      </c>
      <c r="I160" s="1953">
        <v>14904</v>
      </c>
      <c r="J160" s="594">
        <f>H160-I160</f>
        <v>-7176</v>
      </c>
      <c r="K160" s="1358" t="s">
        <v>408</v>
      </c>
      <c r="L160" s="1359"/>
      <c r="M160" s="1827">
        <f>M161+M162</f>
        <v>7728</v>
      </c>
      <c r="N160" s="2146"/>
      <c r="O160" s="1472"/>
      <c r="P160" s="1473"/>
      <c r="Q160" s="1473"/>
      <c r="R160" s="1473"/>
      <c r="S160" s="1472"/>
      <c r="T160" s="1472"/>
      <c r="U160" s="1472"/>
      <c r="V160" s="1472"/>
      <c r="W160" s="1472"/>
      <c r="X160" s="1472"/>
    </row>
    <row r="161" spans="1:24" ht="18" customHeight="1">
      <c r="A161" s="1240"/>
      <c r="B161" s="1241"/>
      <c r="C161" s="1241"/>
      <c r="D161" s="1244"/>
      <c r="E161" s="1244"/>
      <c r="F161" s="1247"/>
      <c r="G161" s="1244"/>
      <c r="H161" s="1862"/>
      <c r="I161" s="1954"/>
      <c r="J161" s="590"/>
      <c r="K161" s="1327" t="s">
        <v>1627</v>
      </c>
      <c r="L161" s="1363" t="s">
        <v>464</v>
      </c>
      <c r="M161" s="666">
        <v>5040</v>
      </c>
      <c r="N161" s="1509" t="s">
        <v>1853</v>
      </c>
      <c r="O161" s="1475"/>
      <c r="P161" s="1473">
        <v>420000</v>
      </c>
      <c r="Q161" s="1473">
        <v>12</v>
      </c>
      <c r="R161" s="1473"/>
      <c r="S161" s="1475"/>
      <c r="T161" s="1475"/>
      <c r="U161" s="1475"/>
      <c r="V161" s="1475"/>
      <c r="W161" s="1475"/>
      <c r="X161" s="1475"/>
    </row>
    <row r="162" spans="1:24" ht="18" customHeight="1">
      <c r="A162" s="1240"/>
      <c r="B162" s="1241"/>
      <c r="C162" s="1241"/>
      <c r="D162" s="1241"/>
      <c r="E162" s="1241"/>
      <c r="F162" s="1241"/>
      <c r="G162" s="1230"/>
      <c r="H162" s="1864"/>
      <c r="I162" s="1954"/>
      <c r="J162" s="590"/>
      <c r="K162" s="1399" t="s">
        <v>1628</v>
      </c>
      <c r="L162" s="1042" t="s">
        <v>464</v>
      </c>
      <c r="M162" s="666">
        <v>2688</v>
      </c>
      <c r="N162" s="1508" t="s">
        <v>1854</v>
      </c>
      <c r="O162" s="1472"/>
      <c r="P162" s="1473">
        <v>224000</v>
      </c>
      <c r="Q162" s="1473">
        <v>12</v>
      </c>
      <c r="R162" s="1473"/>
      <c r="S162" s="1472"/>
      <c r="T162" s="1472"/>
      <c r="U162" s="1472"/>
      <c r="V162" s="1472"/>
      <c r="W162" s="1472"/>
      <c r="X162" s="1472"/>
    </row>
    <row r="163" spans="1:24" ht="18" customHeight="1">
      <c r="A163" s="1240"/>
      <c r="B163" s="1241"/>
      <c r="C163" s="1241"/>
      <c r="D163" s="1241"/>
      <c r="E163" s="1241"/>
      <c r="F163" s="1241"/>
      <c r="G163" s="1246" t="s">
        <v>410</v>
      </c>
      <c r="H163" s="683">
        <f>M163</f>
        <v>6840</v>
      </c>
      <c r="I163" s="1953">
        <v>6860</v>
      </c>
      <c r="J163" s="594">
        <f>H163-I163</f>
        <v>-20</v>
      </c>
      <c r="K163" s="1328" t="s">
        <v>410</v>
      </c>
      <c r="L163" s="1329"/>
      <c r="M163" s="1827">
        <f>M164+M165</f>
        <v>6840</v>
      </c>
      <c r="N163" s="2155"/>
      <c r="O163" s="1472"/>
      <c r="P163" s="1473"/>
      <c r="Q163" s="1473"/>
      <c r="R163" s="1473"/>
      <c r="S163" s="1472"/>
      <c r="T163" s="1472"/>
      <c r="U163" s="1472"/>
      <c r="V163" s="1472"/>
      <c r="W163" s="1472"/>
      <c r="X163" s="1472"/>
    </row>
    <row r="164" spans="1:24" ht="18" customHeight="1">
      <c r="A164" s="1240"/>
      <c r="B164" s="1241"/>
      <c r="C164" s="1241"/>
      <c r="D164" s="1241"/>
      <c r="E164" s="1241"/>
      <c r="F164" s="1241"/>
      <c r="G164" s="1230"/>
      <c r="H164" s="683"/>
      <c r="I164" s="1954"/>
      <c r="J164" s="590"/>
      <c r="K164" s="1362" t="s">
        <v>1629</v>
      </c>
      <c r="L164" s="1042" t="s">
        <v>242</v>
      </c>
      <c r="M164" s="666">
        <v>600</v>
      </c>
      <c r="N164" s="1510" t="s">
        <v>1855</v>
      </c>
      <c r="O164" s="1472"/>
      <c r="P164" s="1473">
        <v>200000</v>
      </c>
      <c r="Q164" s="1473">
        <v>3</v>
      </c>
      <c r="R164" s="1473"/>
      <c r="S164" s="1472"/>
      <c r="T164" s="1472"/>
      <c r="U164" s="1472"/>
      <c r="V164" s="1472"/>
      <c r="W164" s="1472"/>
      <c r="X164" s="1472"/>
    </row>
    <row r="165" spans="1:24" ht="18" customHeight="1">
      <c r="A165" s="1240"/>
      <c r="B165" s="1241"/>
      <c r="C165" s="1241"/>
      <c r="D165" s="1241"/>
      <c r="E165" s="1241"/>
      <c r="F165" s="1252"/>
      <c r="G165" s="1239"/>
      <c r="H165" s="683"/>
      <c r="I165" s="1954"/>
      <c r="J165" s="595"/>
      <c r="K165" s="1535" t="s">
        <v>1630</v>
      </c>
      <c r="L165" s="1040" t="s">
        <v>242</v>
      </c>
      <c r="M165" s="1078">
        <v>6240</v>
      </c>
      <c r="N165" s="1510" t="s">
        <v>1856</v>
      </c>
      <c r="O165" s="1472"/>
      <c r="P165" s="1473">
        <v>4000</v>
      </c>
      <c r="Q165" s="1473">
        <v>5</v>
      </c>
      <c r="R165" s="1473">
        <v>52</v>
      </c>
      <c r="S165" s="1477">
        <v>6</v>
      </c>
      <c r="T165" s="1472"/>
      <c r="U165" s="1472"/>
      <c r="V165" s="1472"/>
      <c r="W165" s="1472"/>
      <c r="X165" s="1472"/>
    </row>
    <row r="166" spans="1:24" ht="18" customHeight="1">
      <c r="A166" s="1240"/>
      <c r="B166" s="1241"/>
      <c r="C166" s="1241"/>
      <c r="D166" s="1241"/>
      <c r="E166" s="1241"/>
      <c r="F166" s="1241"/>
      <c r="G166" s="1246" t="s">
        <v>1222</v>
      </c>
      <c r="H166" s="1876">
        <f>M166</f>
        <v>475153</v>
      </c>
      <c r="I166" s="1953">
        <v>450949</v>
      </c>
      <c r="J166" s="590">
        <f>H166-I166</f>
        <v>24204</v>
      </c>
      <c r="K166" s="1328" t="s">
        <v>1222</v>
      </c>
      <c r="L166" s="1329"/>
      <c r="M166" s="1824">
        <f>M167+M168+M169+M170+M171+M172+M173+M174</f>
        <v>475153</v>
      </c>
      <c r="N166" s="2146"/>
      <c r="O166" s="1472"/>
      <c r="P166" s="1473"/>
      <c r="Q166" s="1473"/>
      <c r="R166" s="1473"/>
      <c r="S166" s="1472"/>
      <c r="T166" s="1472"/>
      <c r="U166" s="1472"/>
      <c r="V166" s="1472"/>
      <c r="W166" s="1472"/>
      <c r="X166" s="1472"/>
    </row>
    <row r="167" spans="1:24" ht="18" customHeight="1">
      <c r="A167" s="1240"/>
      <c r="B167" s="1241"/>
      <c r="C167" s="1241"/>
      <c r="D167" s="1241"/>
      <c r="E167" s="1241"/>
      <c r="F167" s="1252"/>
      <c r="G167" s="1239"/>
      <c r="H167" s="683"/>
      <c r="I167" s="1954"/>
      <c r="J167" s="590"/>
      <c r="K167" s="1399" t="s">
        <v>1631</v>
      </c>
      <c r="L167" s="1042" t="s">
        <v>464</v>
      </c>
      <c r="M167" s="666">
        <v>20</v>
      </c>
      <c r="N167" s="1510" t="s">
        <v>1857</v>
      </c>
      <c r="O167" s="1472"/>
      <c r="P167" s="1473">
        <v>20000</v>
      </c>
      <c r="Q167" s="1473">
        <v>1</v>
      </c>
      <c r="R167" s="1473"/>
      <c r="S167" s="1472"/>
      <c r="T167" s="1472"/>
      <c r="U167" s="1472"/>
      <c r="V167" s="1472"/>
      <c r="W167" s="1472"/>
      <c r="X167" s="1472"/>
    </row>
    <row r="168" spans="1:24" ht="18" customHeight="1">
      <c r="A168" s="1240"/>
      <c r="B168" s="1241"/>
      <c r="C168" s="1241"/>
      <c r="D168" s="1241"/>
      <c r="E168" s="1241"/>
      <c r="F168" s="1252"/>
      <c r="G168" s="1239"/>
      <c r="H168" s="683"/>
      <c r="I168" s="1954"/>
      <c r="J168" s="590"/>
      <c r="K168" s="1399" t="s">
        <v>1632</v>
      </c>
      <c r="L168" s="1042" t="s">
        <v>464</v>
      </c>
      <c r="M168" s="666">
        <v>35</v>
      </c>
      <c r="N168" s="1510" t="s">
        <v>1857</v>
      </c>
      <c r="O168" s="1478"/>
      <c r="P168" s="1473">
        <v>35000</v>
      </c>
      <c r="Q168" s="1473">
        <v>1</v>
      </c>
      <c r="R168" s="1473"/>
      <c r="S168" s="1472"/>
      <c r="T168" s="1472"/>
      <c r="U168" s="1472"/>
      <c r="V168" s="1472"/>
      <c r="W168" s="1472"/>
      <c r="X168" s="1472"/>
    </row>
    <row r="169" spans="1:24" ht="18" customHeight="1">
      <c r="A169" s="1240"/>
      <c r="B169" s="1241"/>
      <c r="C169" s="1241"/>
      <c r="D169" s="1241"/>
      <c r="E169" s="1241"/>
      <c r="F169" s="1252"/>
      <c r="G169" s="1239"/>
      <c r="H169" s="683"/>
      <c r="I169" s="1954"/>
      <c r="J169" s="590"/>
      <c r="K169" s="1399" t="s">
        <v>1633</v>
      </c>
      <c r="L169" s="1042" t="s">
        <v>464</v>
      </c>
      <c r="M169" s="666">
        <v>858</v>
      </c>
      <c r="N169" s="1508" t="s">
        <v>1858</v>
      </c>
      <c r="O169" s="1472"/>
      <c r="P169" s="1473">
        <v>260</v>
      </c>
      <c r="Q169" s="1473">
        <v>3299</v>
      </c>
      <c r="R169" s="1473">
        <v>1</v>
      </c>
      <c r="S169" s="1472"/>
      <c r="T169" s="1472"/>
      <c r="U169" s="1472"/>
      <c r="V169" s="1472"/>
      <c r="W169" s="1472"/>
      <c r="X169" s="1472"/>
    </row>
    <row r="170" spans="1:24" ht="18" customHeight="1">
      <c r="A170" s="1240"/>
      <c r="B170" s="1241"/>
      <c r="C170" s="1241"/>
      <c r="D170" s="1241"/>
      <c r="E170" s="1241"/>
      <c r="F170" s="1252"/>
      <c r="G170" s="1239"/>
      <c r="H170" s="683"/>
      <c r="I170" s="1954"/>
      <c r="J170" s="845"/>
      <c r="K170" s="1360" t="s">
        <v>1634</v>
      </c>
      <c r="L170" s="1042" t="s">
        <v>464</v>
      </c>
      <c r="M170" s="666">
        <v>198000</v>
      </c>
      <c r="N170" s="1508" t="s">
        <v>1859</v>
      </c>
      <c r="O170" s="1472"/>
      <c r="P170" s="1473">
        <v>16500000</v>
      </c>
      <c r="Q170" s="1473">
        <v>12</v>
      </c>
      <c r="R170" s="1473"/>
      <c r="S170" s="1472"/>
      <c r="T170" s="1472"/>
      <c r="U170" s="1472"/>
      <c r="V170" s="1472"/>
      <c r="W170" s="1472"/>
      <c r="X170" s="1472"/>
    </row>
    <row r="171" spans="1:24" ht="18" customHeight="1">
      <c r="A171" s="1240"/>
      <c r="B171" s="1241"/>
      <c r="C171" s="1241"/>
      <c r="D171" s="1241"/>
      <c r="E171" s="1241"/>
      <c r="F171" s="1252"/>
      <c r="G171" s="1239"/>
      <c r="H171" s="683"/>
      <c r="I171" s="1954"/>
      <c r="J171" s="845"/>
      <c r="K171" s="1360" t="s">
        <v>1635</v>
      </c>
      <c r="L171" s="1042" t="s">
        <v>464</v>
      </c>
      <c r="M171" s="666">
        <v>186000</v>
      </c>
      <c r="N171" s="1508" t="s">
        <v>1859</v>
      </c>
      <c r="O171" s="1472"/>
      <c r="P171" s="1473">
        <v>15500000</v>
      </c>
      <c r="Q171" s="1473">
        <v>12</v>
      </c>
      <c r="R171" s="1473"/>
      <c r="S171" s="1472"/>
      <c r="T171" s="1472"/>
      <c r="U171" s="1472"/>
      <c r="V171" s="1472"/>
      <c r="W171" s="1472"/>
      <c r="X171" s="1472"/>
    </row>
    <row r="172" spans="1:24" ht="18" customHeight="1">
      <c r="A172" s="1240"/>
      <c r="B172" s="1241"/>
      <c r="C172" s="1241"/>
      <c r="D172" s="1241"/>
      <c r="E172" s="1241"/>
      <c r="F172" s="1252"/>
      <c r="G172" s="1239"/>
      <c r="H172" s="683"/>
      <c r="I172" s="1954"/>
      <c r="J172" s="845"/>
      <c r="K172" s="1360" t="s">
        <v>1636</v>
      </c>
      <c r="L172" s="1042" t="s">
        <v>464</v>
      </c>
      <c r="M172" s="666">
        <v>84000</v>
      </c>
      <c r="N172" s="1508" t="s">
        <v>1859</v>
      </c>
      <c r="O172" s="1472"/>
      <c r="P172" s="1473">
        <v>7000000</v>
      </c>
      <c r="Q172" s="1473">
        <v>12</v>
      </c>
      <c r="R172" s="1473"/>
      <c r="S172" s="1472"/>
      <c r="T172" s="1472"/>
      <c r="U172" s="1472"/>
      <c r="V172" s="1472"/>
      <c r="W172" s="1472"/>
      <c r="X172" s="1472"/>
    </row>
    <row r="173" spans="1:24" ht="18" customHeight="1">
      <c r="A173" s="1240"/>
      <c r="B173" s="1241"/>
      <c r="C173" s="1241"/>
      <c r="D173" s="1241"/>
      <c r="E173" s="1241"/>
      <c r="F173" s="1252"/>
      <c r="G173" s="1239"/>
      <c r="H173" s="683"/>
      <c r="I173" s="1954"/>
      <c r="J173" s="845"/>
      <c r="K173" s="1360" t="s">
        <v>1637</v>
      </c>
      <c r="L173" s="1042" t="s">
        <v>464</v>
      </c>
      <c r="M173" s="666">
        <v>4200</v>
      </c>
      <c r="N173" s="1510" t="s">
        <v>1860</v>
      </c>
      <c r="O173" s="1472"/>
      <c r="P173" s="1473">
        <v>350000</v>
      </c>
      <c r="Q173" s="1473">
        <v>12</v>
      </c>
      <c r="R173" s="1473"/>
      <c r="S173" s="1472"/>
      <c r="T173" s="1472"/>
      <c r="U173" s="1472"/>
      <c r="V173" s="1472"/>
      <c r="W173" s="1472"/>
      <c r="X173" s="1472"/>
    </row>
    <row r="174" spans="1:24" ht="18" customHeight="1">
      <c r="A174" s="1240"/>
      <c r="B174" s="1241"/>
      <c r="C174" s="1241"/>
      <c r="D174" s="1241"/>
      <c r="E174" s="1241"/>
      <c r="F174" s="1252"/>
      <c r="G174" s="1239"/>
      <c r="H174" s="1864"/>
      <c r="I174" s="1954"/>
      <c r="J174" s="590"/>
      <c r="K174" s="1521" t="s">
        <v>1638</v>
      </c>
      <c r="L174" s="1042" t="s">
        <v>464</v>
      </c>
      <c r="M174" s="666">
        <v>2040</v>
      </c>
      <c r="N174" s="1510" t="s">
        <v>1861</v>
      </c>
      <c r="O174" s="1472"/>
      <c r="P174" s="1473">
        <v>170000</v>
      </c>
      <c r="Q174" s="1473">
        <v>12</v>
      </c>
      <c r="R174" s="1473"/>
      <c r="S174" s="1472"/>
      <c r="T174" s="1472"/>
      <c r="U174" s="1472"/>
      <c r="V174" s="1472"/>
      <c r="W174" s="1472"/>
      <c r="X174" s="1472"/>
    </row>
    <row r="175" spans="1:24" ht="18" customHeight="1">
      <c r="A175" s="340"/>
      <c r="B175" s="344"/>
      <c r="C175" s="344"/>
      <c r="D175" s="341" t="s">
        <v>1493</v>
      </c>
      <c r="E175" s="342"/>
      <c r="F175" s="342"/>
      <c r="G175" s="343"/>
      <c r="H175" s="1919">
        <f>H176</f>
        <v>75160</v>
      </c>
      <c r="I175" s="1858">
        <v>69856</v>
      </c>
      <c r="J175" s="1185">
        <f>H175-I175</f>
        <v>5304</v>
      </c>
      <c r="K175" s="425"/>
      <c r="L175" s="541"/>
      <c r="M175" s="668"/>
      <c r="N175" s="2141"/>
      <c r="O175" s="609"/>
      <c r="P175" s="1473"/>
      <c r="Q175" s="1473"/>
      <c r="R175" s="1473"/>
      <c r="S175" s="1426"/>
      <c r="T175" s="1427"/>
      <c r="U175" s="387"/>
      <c r="V175" s="389"/>
      <c r="W175" s="389"/>
      <c r="X175" s="389"/>
    </row>
    <row r="176" spans="1:24" ht="18" customHeight="1">
      <c r="A176" s="340"/>
      <c r="B176" s="344"/>
      <c r="C176" s="347"/>
      <c r="D176" s="348"/>
      <c r="E176" s="341" t="s">
        <v>987</v>
      </c>
      <c r="F176" s="342"/>
      <c r="G176" s="343"/>
      <c r="H176" s="1919">
        <f>H177+H182</f>
        <v>75160</v>
      </c>
      <c r="I176" s="1857">
        <v>69856</v>
      </c>
      <c r="J176" s="1185">
        <f t="shared" ref="J176:J178" si="4">H176-I176</f>
        <v>5304</v>
      </c>
      <c r="K176" s="427"/>
      <c r="L176" s="428"/>
      <c r="M176" s="668"/>
      <c r="N176" s="2141"/>
      <c r="O176" s="609"/>
      <c r="P176" s="1473"/>
      <c r="Q176" s="1473"/>
      <c r="R176" s="1473"/>
      <c r="S176" s="1426"/>
      <c r="T176" s="1429"/>
      <c r="U176" s="387"/>
      <c r="V176" s="389"/>
      <c r="W176" s="389"/>
      <c r="X176" s="389"/>
    </row>
    <row r="177" spans="1:24" ht="18" customHeight="1">
      <c r="A177" s="1229"/>
      <c r="B177" s="1230"/>
      <c r="C177" s="1230"/>
      <c r="D177" s="1230"/>
      <c r="E177" s="1230"/>
      <c r="F177" s="1234" t="s">
        <v>1488</v>
      </c>
      <c r="G177" s="1243"/>
      <c r="H177" s="1864">
        <f>H178+H180</f>
        <v>5660</v>
      </c>
      <c r="I177" s="1952">
        <v>5656</v>
      </c>
      <c r="J177" s="597">
        <f t="shared" si="4"/>
        <v>4</v>
      </c>
      <c r="K177" s="1364"/>
      <c r="L177" s="1365"/>
      <c r="M177" s="668"/>
      <c r="N177" s="2156"/>
      <c r="O177" s="1478"/>
      <c r="P177" s="1473"/>
      <c r="Q177" s="1473"/>
      <c r="R177" s="1473"/>
      <c r="S177" s="1478"/>
      <c r="T177" s="1478"/>
      <c r="U177" s="1478"/>
      <c r="V177" s="1478"/>
      <c r="W177" s="1478"/>
      <c r="X177" s="1478"/>
    </row>
    <row r="178" spans="1:24" ht="18" customHeight="1">
      <c r="A178" s="1229"/>
      <c r="B178" s="1230"/>
      <c r="C178" s="1230"/>
      <c r="D178" s="1230"/>
      <c r="E178" s="1230"/>
      <c r="F178" s="1253"/>
      <c r="G178" s="1230" t="s">
        <v>1489</v>
      </c>
      <c r="H178" s="1862">
        <f>M178</f>
        <v>500</v>
      </c>
      <c r="I178" s="1957">
        <v>500</v>
      </c>
      <c r="J178" s="594">
        <f t="shared" si="4"/>
        <v>0</v>
      </c>
      <c r="K178" s="1366" t="s">
        <v>1489</v>
      </c>
      <c r="L178" s="1367"/>
      <c r="M178" s="1824">
        <f>M179</f>
        <v>500</v>
      </c>
      <c r="N178" s="2157"/>
      <c r="O178" s="1478"/>
      <c r="P178" s="1473"/>
      <c r="Q178" s="1473"/>
      <c r="R178" s="1473"/>
      <c r="S178" s="1478"/>
      <c r="T178" s="1478"/>
      <c r="U178" s="1478"/>
      <c r="V178" s="1478"/>
      <c r="W178" s="1478"/>
      <c r="X178" s="1478"/>
    </row>
    <row r="179" spans="1:24" ht="18" customHeight="1">
      <c r="A179" s="1229"/>
      <c r="B179" s="1230"/>
      <c r="C179" s="1230"/>
      <c r="D179" s="1230"/>
      <c r="E179" s="1230"/>
      <c r="F179" s="1253"/>
      <c r="G179" s="1254"/>
      <c r="H179" s="1862"/>
      <c r="I179" s="1958"/>
      <c r="J179" s="845"/>
      <c r="K179" s="1368" t="s">
        <v>1639</v>
      </c>
      <c r="L179" s="1369" t="s">
        <v>464</v>
      </c>
      <c r="M179" s="666">
        <v>500</v>
      </c>
      <c r="N179" s="1503" t="s">
        <v>1862</v>
      </c>
      <c r="O179" s="1478"/>
      <c r="P179" s="1473">
        <v>500000</v>
      </c>
      <c r="Q179" s="1473">
        <v>1</v>
      </c>
      <c r="R179" s="1473"/>
      <c r="S179" s="1478"/>
      <c r="T179" s="1478"/>
      <c r="U179" s="1478"/>
      <c r="V179" s="1478"/>
      <c r="W179" s="1478"/>
      <c r="X179" s="1478"/>
    </row>
    <row r="180" spans="1:24" ht="18" customHeight="1">
      <c r="A180" s="1229"/>
      <c r="B180" s="1230"/>
      <c r="C180" s="1230"/>
      <c r="D180" s="1230"/>
      <c r="E180" s="1230"/>
      <c r="F180" s="1253"/>
      <c r="G180" s="1230" t="s">
        <v>1490</v>
      </c>
      <c r="H180" s="1876">
        <f>M180</f>
        <v>5160</v>
      </c>
      <c r="I180" s="1957">
        <v>5156</v>
      </c>
      <c r="J180" s="594">
        <f>H180-I180</f>
        <v>4</v>
      </c>
      <c r="K180" s="1370" t="s">
        <v>1490</v>
      </c>
      <c r="L180" s="1371"/>
      <c r="M180" s="1827">
        <f>M181</f>
        <v>5160</v>
      </c>
      <c r="N180" s="2157"/>
      <c r="O180" s="1478"/>
      <c r="P180" s="1473"/>
      <c r="Q180" s="1473"/>
      <c r="R180" s="1473"/>
      <c r="S180" s="1478"/>
      <c r="T180" s="1478"/>
      <c r="U180" s="1478"/>
      <c r="V180" s="1478"/>
      <c r="W180" s="1478"/>
      <c r="X180" s="1478"/>
    </row>
    <row r="181" spans="1:24" ht="18" customHeight="1">
      <c r="A181" s="1229"/>
      <c r="B181" s="1230"/>
      <c r="C181" s="1230"/>
      <c r="D181" s="1236"/>
      <c r="E181" s="1236"/>
      <c r="F181" s="1255"/>
      <c r="G181" s="1236"/>
      <c r="H181" s="1862"/>
      <c r="I181" s="1957"/>
      <c r="J181" s="845"/>
      <c r="K181" s="1372" t="s">
        <v>1640</v>
      </c>
      <c r="L181" s="1040" t="s">
        <v>242</v>
      </c>
      <c r="M181" s="666">
        <v>5160</v>
      </c>
      <c r="N181" s="1503" t="s">
        <v>1863</v>
      </c>
      <c r="O181" s="1478"/>
      <c r="P181" s="1473">
        <v>430000</v>
      </c>
      <c r="Q181" s="1473">
        <v>12</v>
      </c>
      <c r="R181" s="1473"/>
      <c r="S181" s="1478"/>
      <c r="T181" s="1478"/>
      <c r="U181" s="1478"/>
      <c r="V181" s="1478"/>
      <c r="W181" s="1478"/>
      <c r="X181" s="1478"/>
    </row>
    <row r="182" spans="1:24" ht="18" customHeight="1">
      <c r="A182" s="1256"/>
      <c r="B182" s="1257"/>
      <c r="C182" s="1257"/>
      <c r="D182" s="1257"/>
      <c r="E182" s="1257"/>
      <c r="F182" s="1258" t="s">
        <v>417</v>
      </c>
      <c r="G182" s="1259"/>
      <c r="H182" s="1868">
        <f>H183</f>
        <v>69500</v>
      </c>
      <c r="I182" s="1959">
        <v>64200</v>
      </c>
      <c r="J182" s="594">
        <f>H182-I182</f>
        <v>5300</v>
      </c>
      <c r="K182" s="1373"/>
      <c r="L182" s="1374"/>
      <c r="M182" s="668"/>
      <c r="N182" s="2157"/>
      <c r="O182" s="1478"/>
      <c r="P182" s="1473"/>
      <c r="Q182" s="1473"/>
      <c r="R182" s="1473"/>
      <c r="S182" s="1478"/>
      <c r="T182" s="1478"/>
      <c r="U182" s="1478"/>
      <c r="V182" s="1478"/>
      <c r="W182" s="1478"/>
      <c r="X182" s="1478"/>
    </row>
    <row r="183" spans="1:24" ht="18" customHeight="1">
      <c r="A183" s="1256"/>
      <c r="B183" s="1257"/>
      <c r="C183" s="1257"/>
      <c r="D183" s="1257"/>
      <c r="E183" s="1257"/>
      <c r="F183" s="1260"/>
      <c r="G183" s="1257" t="s">
        <v>1491</v>
      </c>
      <c r="H183" s="1862">
        <f>M183</f>
        <v>69500</v>
      </c>
      <c r="I183" s="1957">
        <v>64200</v>
      </c>
      <c r="J183" s="594">
        <f>H183-I183</f>
        <v>5300</v>
      </c>
      <c r="K183" s="1375" t="s">
        <v>1491</v>
      </c>
      <c r="L183" s="1376" t="s">
        <v>464</v>
      </c>
      <c r="M183" s="1824">
        <f>M184+M185</f>
        <v>69500</v>
      </c>
      <c r="N183" s="2157"/>
      <c r="O183" s="1478"/>
      <c r="P183" s="1473"/>
      <c r="Q183" s="1473"/>
      <c r="R183" s="1473"/>
      <c r="S183" s="1478"/>
      <c r="T183" s="1478"/>
      <c r="U183" s="1478"/>
      <c r="V183" s="1478"/>
      <c r="W183" s="1478"/>
      <c r="X183" s="1478"/>
    </row>
    <row r="184" spans="1:24" ht="18" customHeight="1">
      <c r="A184" s="1256"/>
      <c r="B184" s="1257"/>
      <c r="C184" s="1257"/>
      <c r="D184" s="1261"/>
      <c r="E184" s="1261"/>
      <c r="F184" s="1262"/>
      <c r="G184" s="1261"/>
      <c r="H184" s="1862"/>
      <c r="I184" s="1957"/>
      <c r="J184" s="590"/>
      <c r="K184" s="1399" t="s">
        <v>1641</v>
      </c>
      <c r="L184" s="1040" t="s">
        <v>242</v>
      </c>
      <c r="M184" s="666">
        <v>64000</v>
      </c>
      <c r="N184" s="2158"/>
      <c r="O184" s="1479"/>
      <c r="P184" s="1473">
        <v>64000000</v>
      </c>
      <c r="Q184" s="1473">
        <v>1</v>
      </c>
      <c r="R184" s="1473">
        <v>1</v>
      </c>
      <c r="S184" s="1480"/>
      <c r="T184" s="1478"/>
      <c r="U184" s="1478"/>
      <c r="V184" s="1478"/>
      <c r="W184" s="1478"/>
      <c r="X184" s="1478"/>
    </row>
    <row r="185" spans="1:24" ht="18" customHeight="1">
      <c r="A185" s="1256"/>
      <c r="B185" s="1257"/>
      <c r="C185" s="1257"/>
      <c r="D185" s="1261"/>
      <c r="E185" s="1261"/>
      <c r="F185" s="1262"/>
      <c r="G185" s="1261"/>
      <c r="H185" s="1864"/>
      <c r="I185" s="1957"/>
      <c r="J185" s="845"/>
      <c r="K185" s="1360" t="s">
        <v>1642</v>
      </c>
      <c r="L185" s="1040" t="s">
        <v>242</v>
      </c>
      <c r="M185" s="666">
        <v>5500</v>
      </c>
      <c r="N185" s="1508" t="s">
        <v>1864</v>
      </c>
      <c r="O185" s="1478"/>
      <c r="P185" s="1473">
        <v>5500000</v>
      </c>
      <c r="Q185" s="1473">
        <v>1</v>
      </c>
      <c r="R185" s="1473">
        <v>1</v>
      </c>
      <c r="S185" s="1480"/>
      <c r="T185" s="1478"/>
      <c r="U185" s="1478"/>
      <c r="V185" s="1478"/>
      <c r="W185" s="1478"/>
      <c r="X185" s="1478"/>
    </row>
    <row r="186" spans="1:24" ht="18" customHeight="1">
      <c r="A186" s="340"/>
      <c r="B186" s="344"/>
      <c r="C186" s="317" t="s">
        <v>317</v>
      </c>
      <c r="D186" s="342"/>
      <c r="E186" s="342"/>
      <c r="F186" s="342"/>
      <c r="G186" s="343"/>
      <c r="H186" s="1866">
        <f>H187+H230</f>
        <v>231930</v>
      </c>
      <c r="I186" s="1857">
        <v>225039</v>
      </c>
      <c r="J186" s="601">
        <f>H186-I186</f>
        <v>6891</v>
      </c>
      <c r="K186" s="540"/>
      <c r="L186" s="541"/>
      <c r="M186" s="1534"/>
      <c r="N186" s="1428"/>
      <c r="O186" s="1481"/>
      <c r="P186" s="1428"/>
      <c r="Q186" s="1428"/>
      <c r="R186" s="1428"/>
      <c r="S186" s="1428"/>
      <c r="T186" s="1428"/>
      <c r="U186" s="1428"/>
      <c r="V186" s="389"/>
      <c r="W186" s="389"/>
      <c r="X186" s="389"/>
    </row>
    <row r="187" spans="1:24" ht="18" customHeight="1">
      <c r="A187" s="340"/>
      <c r="B187" s="344"/>
      <c r="C187" s="346"/>
      <c r="D187" s="341" t="s">
        <v>1494</v>
      </c>
      <c r="E187" s="342"/>
      <c r="F187" s="342"/>
      <c r="G187" s="343"/>
      <c r="H187" s="1866">
        <f>H188</f>
        <v>189020</v>
      </c>
      <c r="I187" s="1857">
        <v>190795</v>
      </c>
      <c r="J187" s="607">
        <f t="shared" ref="J187:J190" si="5">H187-I187</f>
        <v>-1775</v>
      </c>
      <c r="K187" s="494"/>
      <c r="L187" s="541"/>
      <c r="M187" s="668"/>
      <c r="N187" s="1306"/>
      <c r="O187" s="1482"/>
      <c r="P187" s="610"/>
      <c r="Q187" s="1426"/>
      <c r="R187" s="1426"/>
      <c r="S187" s="1426"/>
      <c r="T187" s="1427"/>
      <c r="U187" s="387"/>
      <c r="V187" s="389"/>
      <c r="W187" s="389"/>
      <c r="X187" s="389"/>
    </row>
    <row r="188" spans="1:24" ht="18" customHeight="1">
      <c r="A188" s="340"/>
      <c r="B188" s="344"/>
      <c r="C188" s="347"/>
      <c r="D188" s="348"/>
      <c r="E188" s="341" t="s">
        <v>987</v>
      </c>
      <c r="F188" s="342"/>
      <c r="G188" s="343"/>
      <c r="H188" s="1866">
        <f>H189</f>
        <v>189020</v>
      </c>
      <c r="I188" s="1857">
        <v>190795</v>
      </c>
      <c r="J188" s="601">
        <f t="shared" si="5"/>
        <v>-1775</v>
      </c>
      <c r="K188" s="427"/>
      <c r="L188" s="428"/>
      <c r="M188" s="666"/>
      <c r="N188" s="1306"/>
      <c r="O188" s="1482"/>
      <c r="P188" s="610"/>
      <c r="Q188" s="1426"/>
      <c r="R188" s="1426"/>
      <c r="S188" s="1426"/>
      <c r="T188" s="1429"/>
      <c r="U188" s="387"/>
      <c r="V188" s="389"/>
      <c r="W188" s="389"/>
      <c r="X188" s="389"/>
    </row>
    <row r="189" spans="1:24" ht="18" customHeight="1">
      <c r="A189" s="1263"/>
      <c r="B189" s="1264"/>
      <c r="C189" s="1265"/>
      <c r="D189" s="1266"/>
      <c r="E189" s="1267"/>
      <c r="F189" s="2428" t="s">
        <v>988</v>
      </c>
      <c r="G189" s="2429"/>
      <c r="H189" s="1868">
        <f>H190+H201+H203+H217+H219+H221</f>
        <v>189020</v>
      </c>
      <c r="I189" s="1960">
        <v>190795</v>
      </c>
      <c r="J189" s="595">
        <f t="shared" si="5"/>
        <v>-1775</v>
      </c>
      <c r="K189" s="1377" t="s">
        <v>988</v>
      </c>
      <c r="L189" s="1377"/>
      <c r="M189" s="668"/>
      <c r="N189" s="1483"/>
      <c r="O189" s="1484"/>
      <c r="P189" s="1470"/>
      <c r="Q189" s="1471"/>
      <c r="R189" s="1471"/>
      <c r="S189" s="1471"/>
      <c r="T189" s="1471"/>
      <c r="U189" s="1471"/>
      <c r="V189" s="1478"/>
      <c r="W189" s="1478"/>
      <c r="X189" s="1478"/>
    </row>
    <row r="190" spans="1:24" ht="18" customHeight="1">
      <c r="A190" s="1263"/>
      <c r="B190" s="1264"/>
      <c r="C190" s="1265"/>
      <c r="D190" s="1268"/>
      <c r="E190" s="1268"/>
      <c r="F190" s="1269"/>
      <c r="G190" s="1270" t="s">
        <v>1495</v>
      </c>
      <c r="H190" s="683">
        <f>M190</f>
        <v>17462</v>
      </c>
      <c r="I190" s="1961">
        <v>17972</v>
      </c>
      <c r="J190" s="594">
        <f t="shared" si="5"/>
        <v>-510</v>
      </c>
      <c r="K190" s="1378" t="s">
        <v>989</v>
      </c>
      <c r="L190" s="1379"/>
      <c r="M190" s="1824">
        <f>M191+M192+M193+M194+M195+M196+M197+M198+M199+M200</f>
        <v>17462</v>
      </c>
      <c r="N190" s="1485"/>
      <c r="O190" s="1484"/>
      <c r="P190" s="1470"/>
      <c r="Q190" s="1471"/>
      <c r="R190" s="1471"/>
      <c r="S190" s="1471"/>
      <c r="T190" s="1471"/>
      <c r="U190" s="1471"/>
      <c r="V190" s="1486"/>
      <c r="W190" s="1487"/>
      <c r="X190" s="1487"/>
    </row>
    <row r="191" spans="1:24" ht="18" customHeight="1">
      <c r="A191" s="1263"/>
      <c r="B191" s="1264"/>
      <c r="C191" s="1265"/>
      <c r="D191" s="1268"/>
      <c r="E191" s="1268"/>
      <c r="F191" s="1269"/>
      <c r="G191" s="1269"/>
      <c r="H191" s="1862"/>
      <c r="I191" s="1962"/>
      <c r="J191" s="845"/>
      <c r="K191" s="1360" t="s">
        <v>1610</v>
      </c>
      <c r="L191" s="1380" t="s">
        <v>242</v>
      </c>
      <c r="M191" s="666">
        <v>2400</v>
      </c>
      <c r="N191" s="1488" t="s">
        <v>1865</v>
      </c>
      <c r="O191" s="1484"/>
      <c r="P191" s="1470">
        <v>200000</v>
      </c>
      <c r="Q191" s="1471">
        <v>12</v>
      </c>
      <c r="R191" s="1471"/>
      <c r="S191" s="1471"/>
      <c r="T191" s="1471"/>
      <c r="U191" s="1471"/>
      <c r="V191" s="1486"/>
      <c r="W191" s="1487"/>
      <c r="X191" s="1487"/>
    </row>
    <row r="192" spans="1:24" ht="18" customHeight="1">
      <c r="A192" s="1263"/>
      <c r="B192" s="1264"/>
      <c r="C192" s="1265"/>
      <c r="D192" s="1268"/>
      <c r="E192" s="1268"/>
      <c r="F192" s="1269"/>
      <c r="G192" s="1269"/>
      <c r="H192" s="1862"/>
      <c r="I192" s="1962"/>
      <c r="J192" s="845"/>
      <c r="K192" s="1322" t="s">
        <v>1643</v>
      </c>
      <c r="L192" s="1380" t="s">
        <v>242</v>
      </c>
      <c r="M192" s="666">
        <v>2000</v>
      </c>
      <c r="N192" s="1489" t="s">
        <v>1866</v>
      </c>
      <c r="O192" s="1484"/>
      <c r="P192" s="1470">
        <v>1000000</v>
      </c>
      <c r="Q192" s="1471">
        <v>2</v>
      </c>
      <c r="R192" s="1471">
        <v>1</v>
      </c>
      <c r="S192" s="1471"/>
      <c r="T192" s="1471"/>
      <c r="U192" s="1471"/>
      <c r="V192" s="1486"/>
      <c r="W192" s="1487"/>
      <c r="X192" s="1487"/>
    </row>
    <row r="193" spans="1:24" ht="18" customHeight="1">
      <c r="A193" s="1263"/>
      <c r="B193" s="1264"/>
      <c r="C193" s="1265"/>
      <c r="D193" s="1268"/>
      <c r="E193" s="1268"/>
      <c r="F193" s="1269"/>
      <c r="G193" s="1269"/>
      <c r="H193" s="1862"/>
      <c r="I193" s="1962"/>
      <c r="J193" s="845"/>
      <c r="K193" s="1381" t="s">
        <v>1644</v>
      </c>
      <c r="L193" s="1382" t="s">
        <v>242</v>
      </c>
      <c r="M193" s="666">
        <v>500</v>
      </c>
      <c r="N193" s="1489" t="s">
        <v>1867</v>
      </c>
      <c r="O193" s="1484"/>
      <c r="P193" s="1470">
        <v>50000</v>
      </c>
      <c r="Q193" s="1471">
        <v>10</v>
      </c>
      <c r="R193" s="1471">
        <v>1</v>
      </c>
      <c r="S193" s="1471"/>
      <c r="T193" s="1471"/>
      <c r="U193" s="1471"/>
      <c r="V193" s="1486"/>
      <c r="W193" s="1487"/>
      <c r="X193" s="1487"/>
    </row>
    <row r="194" spans="1:24" ht="18" customHeight="1">
      <c r="A194" s="1263"/>
      <c r="B194" s="1264"/>
      <c r="C194" s="1265"/>
      <c r="D194" s="1268"/>
      <c r="E194" s="1268"/>
      <c r="F194" s="1269"/>
      <c r="G194" s="1269"/>
      <c r="H194" s="1862"/>
      <c r="I194" s="1962"/>
      <c r="J194" s="845"/>
      <c r="K194" s="1322" t="s">
        <v>1645</v>
      </c>
      <c r="L194" s="1382" t="s">
        <v>242</v>
      </c>
      <c r="M194" s="666">
        <v>6600</v>
      </c>
      <c r="N194" s="1489"/>
      <c r="O194" s="1484"/>
      <c r="P194" s="1470">
        <v>550000</v>
      </c>
      <c r="Q194" s="1471">
        <v>12</v>
      </c>
      <c r="R194" s="1471"/>
      <c r="S194" s="1471"/>
      <c r="T194" s="1471"/>
      <c r="U194" s="1471"/>
      <c r="V194" s="1486"/>
      <c r="W194" s="1487"/>
      <c r="X194" s="1487"/>
    </row>
    <row r="195" spans="1:24" ht="18" customHeight="1">
      <c r="A195" s="1263"/>
      <c r="B195" s="1271"/>
      <c r="C195" s="1265"/>
      <c r="D195" s="1268"/>
      <c r="E195" s="1268"/>
      <c r="F195" s="1269"/>
      <c r="G195" s="1269"/>
      <c r="H195" s="1862"/>
      <c r="I195" s="1962"/>
      <c r="J195" s="845"/>
      <c r="K195" s="1322" t="s">
        <v>1646</v>
      </c>
      <c r="L195" s="1382" t="s">
        <v>242</v>
      </c>
      <c r="M195" s="666">
        <v>500</v>
      </c>
      <c r="N195" s="1489" t="s">
        <v>1868</v>
      </c>
      <c r="O195" s="1484"/>
      <c r="P195" s="1470">
        <v>10000</v>
      </c>
      <c r="Q195" s="1471">
        <v>50</v>
      </c>
      <c r="R195" s="1471"/>
      <c r="S195" s="1471"/>
      <c r="T195" s="1471"/>
      <c r="U195" s="1471"/>
      <c r="V195" s="1486"/>
      <c r="W195" s="1487"/>
      <c r="X195" s="1487"/>
    </row>
    <row r="196" spans="1:24" ht="18" customHeight="1">
      <c r="A196" s="1263"/>
      <c r="B196" s="1271"/>
      <c r="C196" s="1265"/>
      <c r="D196" s="1268"/>
      <c r="E196" s="1268"/>
      <c r="F196" s="1269"/>
      <c r="G196" s="1269"/>
      <c r="H196" s="1862"/>
      <c r="I196" s="1962"/>
      <c r="J196" s="845"/>
      <c r="K196" s="1381" t="s">
        <v>1647</v>
      </c>
      <c r="L196" s="1380" t="s">
        <v>242</v>
      </c>
      <c r="M196" s="666">
        <v>960</v>
      </c>
      <c r="N196" s="1489" t="s">
        <v>1869</v>
      </c>
      <c r="O196" s="1484"/>
      <c r="P196" s="1470">
        <v>20000</v>
      </c>
      <c r="Q196" s="1471">
        <v>4</v>
      </c>
      <c r="R196" s="1471">
        <v>12</v>
      </c>
      <c r="S196" s="1471"/>
      <c r="T196" s="1471"/>
      <c r="U196" s="1471"/>
      <c r="V196" s="1486"/>
      <c r="W196" s="1487"/>
      <c r="X196" s="1487"/>
    </row>
    <row r="197" spans="1:24" ht="18" customHeight="1">
      <c r="A197" s="1263"/>
      <c r="B197" s="1271"/>
      <c r="C197" s="1265"/>
      <c r="D197" s="1268"/>
      <c r="E197" s="1268"/>
      <c r="F197" s="1269"/>
      <c r="G197" s="1269"/>
      <c r="H197" s="1862"/>
      <c r="I197" s="1962"/>
      <c r="J197" s="845"/>
      <c r="K197" s="1360" t="s">
        <v>1648</v>
      </c>
      <c r="L197" s="1382" t="s">
        <v>242</v>
      </c>
      <c r="M197" s="666">
        <v>990</v>
      </c>
      <c r="N197" s="1488" t="s">
        <v>1870</v>
      </c>
      <c r="O197" s="1484"/>
      <c r="P197" s="1470">
        <v>66000</v>
      </c>
      <c r="Q197" s="1471">
        <v>3</v>
      </c>
      <c r="R197" s="1471">
        <v>5</v>
      </c>
      <c r="S197" s="1471"/>
      <c r="T197" s="1471"/>
      <c r="U197" s="1471"/>
      <c r="V197" s="1486"/>
      <c r="W197" s="1487"/>
      <c r="X197" s="1487"/>
    </row>
    <row r="198" spans="1:24" ht="18" customHeight="1">
      <c r="A198" s="1263"/>
      <c r="B198" s="1264"/>
      <c r="C198" s="1265"/>
      <c r="D198" s="1268"/>
      <c r="E198" s="1268"/>
      <c r="F198" s="1269"/>
      <c r="G198" s="1269"/>
      <c r="H198" s="1862"/>
      <c r="I198" s="1962"/>
      <c r="J198" s="845"/>
      <c r="K198" s="1383" t="s">
        <v>1649</v>
      </c>
      <c r="L198" s="1382" t="s">
        <v>242</v>
      </c>
      <c r="M198" s="666">
        <v>2800</v>
      </c>
      <c r="N198" s="1489" t="s">
        <v>1871</v>
      </c>
      <c r="O198" s="1484"/>
      <c r="P198" s="1470">
        <v>700000</v>
      </c>
      <c r="Q198" s="1471">
        <v>4</v>
      </c>
      <c r="R198" s="1471"/>
      <c r="S198" s="1471"/>
      <c r="T198" s="1471"/>
      <c r="U198" s="1471"/>
      <c r="V198" s="1486"/>
      <c r="W198" s="1487"/>
      <c r="X198" s="1487"/>
    </row>
    <row r="199" spans="1:24" ht="18" customHeight="1">
      <c r="A199" s="1263"/>
      <c r="B199" s="1264"/>
      <c r="C199" s="1265"/>
      <c r="D199" s="1268"/>
      <c r="E199" s="1268"/>
      <c r="F199" s="1269"/>
      <c r="G199" s="1269"/>
      <c r="H199" s="1862"/>
      <c r="I199" s="1962"/>
      <c r="J199" s="845"/>
      <c r="K199" s="1383" t="s">
        <v>1650</v>
      </c>
      <c r="L199" s="1382" t="s">
        <v>242</v>
      </c>
      <c r="M199" s="666">
        <v>400</v>
      </c>
      <c r="N199" s="1489" t="s">
        <v>1872</v>
      </c>
      <c r="O199" s="1484"/>
      <c r="P199" s="1470">
        <v>400000</v>
      </c>
      <c r="Q199" s="1471">
        <v>1</v>
      </c>
      <c r="R199" s="1471"/>
      <c r="S199" s="1471"/>
      <c r="T199" s="1471"/>
      <c r="U199" s="1471"/>
      <c r="V199" s="1486"/>
      <c r="W199" s="1487"/>
      <c r="X199" s="1487"/>
    </row>
    <row r="200" spans="1:24" ht="18" customHeight="1">
      <c r="A200" s="1263"/>
      <c r="B200" s="1264"/>
      <c r="C200" s="1265"/>
      <c r="D200" s="1268"/>
      <c r="E200" s="1268"/>
      <c r="F200" s="1272"/>
      <c r="G200" s="1272"/>
      <c r="H200" s="1864"/>
      <c r="I200" s="1962"/>
      <c r="J200" s="845"/>
      <c r="K200" s="1360" t="s">
        <v>1651</v>
      </c>
      <c r="L200" s="1380" t="s">
        <v>464</v>
      </c>
      <c r="M200" s="666">
        <v>312</v>
      </c>
      <c r="N200" s="1488" t="s">
        <v>1873</v>
      </c>
      <c r="O200" s="1484"/>
      <c r="P200" s="1470">
        <v>26000</v>
      </c>
      <c r="Q200" s="1471">
        <v>12</v>
      </c>
      <c r="R200" s="1471"/>
      <c r="S200" s="1471"/>
      <c r="T200" s="1471"/>
      <c r="U200" s="1471"/>
      <c r="V200" s="1486"/>
      <c r="W200" s="1487"/>
      <c r="X200" s="1487"/>
    </row>
    <row r="201" spans="1:24" ht="18" customHeight="1">
      <c r="A201" s="1273"/>
      <c r="B201" s="1268"/>
      <c r="C201" s="1265"/>
      <c r="D201" s="1265"/>
      <c r="E201" s="1265"/>
      <c r="F201" s="1274"/>
      <c r="G201" s="1275" t="s">
        <v>1496</v>
      </c>
      <c r="H201" s="1862">
        <f>M201</f>
        <v>500</v>
      </c>
      <c r="I201" s="1416">
        <v>0</v>
      </c>
      <c r="J201" s="594">
        <f>H201-I201</f>
        <v>500</v>
      </c>
      <c r="K201" s="1378" t="s">
        <v>1004</v>
      </c>
      <c r="L201" s="1384"/>
      <c r="M201" s="1827">
        <f>M202</f>
        <v>500</v>
      </c>
      <c r="N201" s="1490"/>
      <c r="O201" s="1484"/>
      <c r="P201" s="1470"/>
      <c r="Q201" s="1471"/>
      <c r="R201" s="1471"/>
      <c r="S201" s="1471"/>
      <c r="T201" s="1478"/>
      <c r="U201" s="1478"/>
      <c r="V201" s="1486"/>
      <c r="W201" s="1487"/>
      <c r="X201" s="1487"/>
    </row>
    <row r="202" spans="1:24" ht="18" customHeight="1">
      <c r="A202" s="1273"/>
      <c r="B202" s="1268"/>
      <c r="C202" s="1265"/>
      <c r="D202" s="1265"/>
      <c r="E202" s="1265"/>
      <c r="F202" s="1274"/>
      <c r="G202" s="1269"/>
      <c r="H202" s="1862"/>
      <c r="I202" s="1962"/>
      <c r="J202" s="595"/>
      <c r="K202" s="1385" t="s">
        <v>1652</v>
      </c>
      <c r="L202" s="1038" t="s">
        <v>242</v>
      </c>
      <c r="M202" s="666">
        <v>500</v>
      </c>
      <c r="N202" s="1509" t="s">
        <v>1835</v>
      </c>
      <c r="O202" s="1484"/>
      <c r="P202" s="1470">
        <v>250000</v>
      </c>
      <c r="Q202" s="1471">
        <v>2</v>
      </c>
      <c r="R202" s="1471"/>
      <c r="S202" s="1471"/>
      <c r="T202" s="1478"/>
      <c r="U202" s="1478"/>
      <c r="V202" s="1486"/>
      <c r="W202" s="1487"/>
      <c r="X202" s="1487"/>
    </row>
    <row r="203" spans="1:24" ht="18" customHeight="1">
      <c r="A203" s="1273"/>
      <c r="B203" s="1268"/>
      <c r="C203" s="1265"/>
      <c r="D203" s="1265"/>
      <c r="E203" s="1265"/>
      <c r="F203" s="1274"/>
      <c r="G203" s="1275" t="s">
        <v>1497</v>
      </c>
      <c r="H203" s="1876">
        <f>M203</f>
        <v>34220</v>
      </c>
      <c r="I203" s="1416">
        <v>32880</v>
      </c>
      <c r="J203" s="845">
        <f>H203-I203</f>
        <v>1340</v>
      </c>
      <c r="K203" s="1378" t="s">
        <v>990</v>
      </c>
      <c r="L203" s="1384"/>
      <c r="M203" s="1827">
        <f>M204+M205+M206+M207+M208+M209+M210+M211+M212+M213+M214+M215+M216</f>
        <v>34220</v>
      </c>
      <c r="N203" s="1491"/>
      <c r="O203" s="1484"/>
      <c r="P203" s="1470"/>
      <c r="Q203" s="1471"/>
      <c r="R203" s="1471"/>
      <c r="S203" s="1471"/>
      <c r="T203" s="1478"/>
      <c r="U203" s="1478"/>
      <c r="V203" s="1486"/>
      <c r="W203" s="1487"/>
      <c r="X203" s="1487"/>
    </row>
    <row r="204" spans="1:24" ht="18" customHeight="1">
      <c r="A204" s="1273"/>
      <c r="B204" s="1268"/>
      <c r="C204" s="1265"/>
      <c r="D204" s="1265"/>
      <c r="E204" s="1265"/>
      <c r="F204" s="1276"/>
      <c r="G204" s="1276"/>
      <c r="H204" s="1862"/>
      <c r="I204" s="1962"/>
      <c r="J204" s="845"/>
      <c r="K204" s="1383" t="s">
        <v>1653</v>
      </c>
      <c r="L204" s="1386" t="s">
        <v>464</v>
      </c>
      <c r="M204" s="666">
        <v>3000</v>
      </c>
      <c r="N204" s="1492" t="s">
        <v>1874</v>
      </c>
      <c r="O204" s="1484"/>
      <c r="P204" s="1470">
        <v>3000000</v>
      </c>
      <c r="Q204" s="1471">
        <v>1</v>
      </c>
      <c r="R204" s="1471"/>
      <c r="S204" s="1471"/>
      <c r="T204" s="1478"/>
      <c r="U204" s="1478"/>
      <c r="V204" s="1486"/>
      <c r="W204" s="1487"/>
      <c r="X204" s="1487"/>
    </row>
    <row r="205" spans="1:24" ht="18" customHeight="1">
      <c r="A205" s="1273"/>
      <c r="B205" s="1268"/>
      <c r="C205" s="1265"/>
      <c r="D205" s="1265"/>
      <c r="E205" s="1265"/>
      <c r="F205" s="1276"/>
      <c r="G205" s="1276"/>
      <c r="H205" s="1862"/>
      <c r="I205" s="1962"/>
      <c r="J205" s="845"/>
      <c r="K205" s="1383" t="s">
        <v>1654</v>
      </c>
      <c r="L205" s="1386" t="s">
        <v>464</v>
      </c>
      <c r="M205" s="666">
        <v>2000</v>
      </c>
      <c r="N205" s="1492" t="s">
        <v>1875</v>
      </c>
      <c r="O205" s="1484"/>
      <c r="P205" s="1470">
        <v>1000000</v>
      </c>
      <c r="Q205" s="1471">
        <v>2</v>
      </c>
      <c r="R205" s="1471"/>
      <c r="S205" s="1471"/>
      <c r="T205" s="1478"/>
      <c r="U205" s="1478"/>
      <c r="V205" s="1486"/>
      <c r="W205" s="1487"/>
      <c r="X205" s="1487"/>
    </row>
    <row r="206" spans="1:24" ht="18" customHeight="1">
      <c r="A206" s="1273"/>
      <c r="B206" s="1268"/>
      <c r="C206" s="1265"/>
      <c r="D206" s="1265"/>
      <c r="E206" s="1265"/>
      <c r="F206" s="1276"/>
      <c r="G206" s="1276"/>
      <c r="H206" s="1862"/>
      <c r="I206" s="1962"/>
      <c r="J206" s="845"/>
      <c r="K206" s="1383" t="s">
        <v>1612</v>
      </c>
      <c r="L206" s="1386" t="s">
        <v>464</v>
      </c>
      <c r="M206" s="666">
        <v>130</v>
      </c>
      <c r="N206" s="1492" t="s">
        <v>1876</v>
      </c>
      <c r="O206" s="1484"/>
      <c r="P206" s="1470">
        <v>130000</v>
      </c>
      <c r="Q206" s="1471">
        <v>1</v>
      </c>
      <c r="R206" s="1471"/>
      <c r="S206" s="1471"/>
      <c r="T206" s="1478"/>
      <c r="U206" s="1478"/>
      <c r="V206" s="1486"/>
      <c r="W206" s="1487"/>
      <c r="X206" s="1487"/>
    </row>
    <row r="207" spans="1:24" ht="18" customHeight="1">
      <c r="A207" s="1273"/>
      <c r="B207" s="1268"/>
      <c r="C207" s="1265"/>
      <c r="D207" s="1265"/>
      <c r="E207" s="1265"/>
      <c r="F207" s="1276"/>
      <c r="G207" s="1276"/>
      <c r="H207" s="1862"/>
      <c r="I207" s="1962"/>
      <c r="J207" s="845"/>
      <c r="K207" s="1383" t="s">
        <v>1655</v>
      </c>
      <c r="L207" s="1386" t="s">
        <v>464</v>
      </c>
      <c r="M207" s="666">
        <v>1400</v>
      </c>
      <c r="N207" s="1492" t="s">
        <v>1877</v>
      </c>
      <c r="O207" s="1484"/>
      <c r="P207" s="1470">
        <v>700000</v>
      </c>
      <c r="Q207" s="1471">
        <v>2</v>
      </c>
      <c r="R207" s="1471"/>
      <c r="S207" s="1471"/>
      <c r="T207" s="1478"/>
      <c r="U207" s="1478"/>
      <c r="V207" s="1486"/>
      <c r="W207" s="1487"/>
      <c r="X207" s="1487"/>
    </row>
    <row r="208" spans="1:24" ht="18" customHeight="1">
      <c r="A208" s="1273"/>
      <c r="B208" s="1268"/>
      <c r="C208" s="1265"/>
      <c r="D208" s="1265"/>
      <c r="E208" s="1265"/>
      <c r="F208" s="1276"/>
      <c r="G208" s="1276"/>
      <c r="H208" s="1862"/>
      <c r="I208" s="1962"/>
      <c r="J208" s="845"/>
      <c r="K208" s="1383" t="s">
        <v>1656</v>
      </c>
      <c r="L208" s="1386" t="s">
        <v>464</v>
      </c>
      <c r="M208" s="666">
        <v>4800</v>
      </c>
      <c r="N208" s="1492" t="s">
        <v>1878</v>
      </c>
      <c r="O208" s="1484"/>
      <c r="P208" s="1470">
        <v>400000</v>
      </c>
      <c r="Q208" s="1471">
        <v>12</v>
      </c>
      <c r="R208" s="1471"/>
      <c r="S208" s="1471"/>
      <c r="T208" s="1478"/>
      <c r="U208" s="1478"/>
      <c r="V208" s="1486"/>
      <c r="W208" s="1487"/>
      <c r="X208" s="1487"/>
    </row>
    <row r="209" spans="1:24" ht="18" customHeight="1">
      <c r="A209" s="1273"/>
      <c r="B209" s="1268"/>
      <c r="C209" s="1265"/>
      <c r="D209" s="1265"/>
      <c r="E209" s="1265"/>
      <c r="F209" s="1276"/>
      <c r="G209" s="1276"/>
      <c r="H209" s="1862"/>
      <c r="I209" s="1962"/>
      <c r="J209" s="845"/>
      <c r="K209" s="1383" t="s">
        <v>1657</v>
      </c>
      <c r="L209" s="1386" t="s">
        <v>464</v>
      </c>
      <c r="M209" s="666">
        <v>2400</v>
      </c>
      <c r="N209" s="1492" t="s">
        <v>1879</v>
      </c>
      <c r="O209" s="1484"/>
      <c r="P209" s="1470">
        <v>200000</v>
      </c>
      <c r="Q209" s="1471">
        <v>12</v>
      </c>
      <c r="R209" s="1471"/>
      <c r="S209" s="1471"/>
      <c r="T209" s="1478"/>
      <c r="U209" s="1478"/>
      <c r="V209" s="1486"/>
      <c r="W209" s="1487"/>
      <c r="X209" s="1487"/>
    </row>
    <row r="210" spans="1:24" ht="18" customHeight="1">
      <c r="A210" s="1273"/>
      <c r="B210" s="1268"/>
      <c r="C210" s="1265"/>
      <c r="D210" s="1265"/>
      <c r="E210" s="1265"/>
      <c r="F210" s="1276"/>
      <c r="G210" s="1276"/>
      <c r="H210" s="1862"/>
      <c r="I210" s="1963"/>
      <c r="J210" s="845"/>
      <c r="K210" s="1383" t="s">
        <v>1658</v>
      </c>
      <c r="L210" s="1386" t="s">
        <v>464</v>
      </c>
      <c r="M210" s="666">
        <v>130</v>
      </c>
      <c r="N210" s="1492" t="s">
        <v>1880</v>
      </c>
      <c r="O210" s="1484"/>
      <c r="P210" s="1470">
        <v>130000</v>
      </c>
      <c r="Q210" s="1471">
        <v>1</v>
      </c>
      <c r="R210" s="1471"/>
      <c r="S210" s="1471"/>
      <c r="T210" s="1478"/>
      <c r="U210" s="1478"/>
      <c r="V210" s="1486"/>
      <c r="W210" s="1487"/>
      <c r="X210" s="1487"/>
    </row>
    <row r="211" spans="1:24" ht="18" customHeight="1">
      <c r="A211" s="1273"/>
      <c r="B211" s="1268"/>
      <c r="C211" s="1265"/>
      <c r="D211" s="1265"/>
      <c r="E211" s="1265"/>
      <c r="F211" s="1276"/>
      <c r="G211" s="1276"/>
      <c r="H211" s="1862"/>
      <c r="I211" s="1962"/>
      <c r="J211" s="845"/>
      <c r="K211" s="1383" t="s">
        <v>1659</v>
      </c>
      <c r="L211" s="1386" t="s">
        <v>464</v>
      </c>
      <c r="M211" s="666">
        <v>200</v>
      </c>
      <c r="N211" s="1492" t="s">
        <v>1881</v>
      </c>
      <c r="O211" s="1484"/>
      <c r="P211" s="1470">
        <v>200000</v>
      </c>
      <c r="Q211" s="1471">
        <v>1</v>
      </c>
      <c r="R211" s="1471"/>
      <c r="S211" s="1471"/>
      <c r="T211" s="1478"/>
      <c r="U211" s="1478"/>
      <c r="V211" s="1486"/>
      <c r="W211" s="1487"/>
      <c r="X211" s="1487"/>
    </row>
    <row r="212" spans="1:24" ht="18" customHeight="1">
      <c r="A212" s="1273"/>
      <c r="B212" s="1268"/>
      <c r="C212" s="1265"/>
      <c r="D212" s="1265"/>
      <c r="E212" s="1265"/>
      <c r="F212" s="1276"/>
      <c r="G212" s="1276"/>
      <c r="H212" s="683"/>
      <c r="I212" s="1963"/>
      <c r="J212" s="845"/>
      <c r="K212" s="1383" t="s">
        <v>1660</v>
      </c>
      <c r="L212" s="1386" t="s">
        <v>464</v>
      </c>
      <c r="M212" s="666">
        <v>2280</v>
      </c>
      <c r="N212" s="1492" t="s">
        <v>1882</v>
      </c>
      <c r="O212" s="1484"/>
      <c r="P212" s="1470">
        <v>190000</v>
      </c>
      <c r="Q212" s="1471">
        <v>12</v>
      </c>
      <c r="R212" s="1471"/>
      <c r="S212" s="1471"/>
      <c r="T212" s="1478"/>
      <c r="U212" s="1478"/>
      <c r="V212" s="1486"/>
      <c r="W212" s="1487"/>
      <c r="X212" s="1487"/>
    </row>
    <row r="213" spans="1:24" ht="18" customHeight="1">
      <c r="A213" s="1273"/>
      <c r="B213" s="1268"/>
      <c r="C213" s="1265"/>
      <c r="D213" s="1265"/>
      <c r="E213" s="1265"/>
      <c r="F213" s="1276"/>
      <c r="G213" s="1276"/>
      <c r="H213" s="683"/>
      <c r="I213" s="1963"/>
      <c r="J213" s="845"/>
      <c r="K213" s="1383" t="s">
        <v>1661</v>
      </c>
      <c r="L213" s="1386" t="s">
        <v>464</v>
      </c>
      <c r="M213" s="666">
        <v>1320</v>
      </c>
      <c r="N213" s="1492" t="s">
        <v>1883</v>
      </c>
      <c r="O213" s="1484"/>
      <c r="P213" s="1470">
        <v>330000</v>
      </c>
      <c r="Q213" s="1471">
        <v>4</v>
      </c>
      <c r="R213" s="1471"/>
      <c r="S213" s="1471"/>
      <c r="T213" s="1478"/>
      <c r="U213" s="1478"/>
      <c r="V213" s="1486"/>
      <c r="W213" s="1487"/>
      <c r="X213" s="1487"/>
    </row>
    <row r="214" spans="1:24" ht="18" customHeight="1">
      <c r="A214" s="1273"/>
      <c r="B214" s="1268"/>
      <c r="C214" s="1265"/>
      <c r="D214" s="1265"/>
      <c r="E214" s="1265"/>
      <c r="F214" s="1276"/>
      <c r="G214" s="1276"/>
      <c r="H214" s="683"/>
      <c r="I214" s="1963"/>
      <c r="J214" s="845"/>
      <c r="K214" s="1383" t="s">
        <v>1662</v>
      </c>
      <c r="L214" s="1380" t="s">
        <v>464</v>
      </c>
      <c r="M214" s="666">
        <v>360</v>
      </c>
      <c r="N214" s="1493" t="s">
        <v>1884</v>
      </c>
      <c r="O214" s="1484"/>
      <c r="P214" s="1470">
        <v>30000</v>
      </c>
      <c r="Q214" s="1471">
        <v>12</v>
      </c>
      <c r="R214" s="1471"/>
      <c r="S214" s="1471"/>
      <c r="T214" s="1478"/>
      <c r="U214" s="1478"/>
      <c r="V214" s="1486"/>
      <c r="W214" s="1487"/>
      <c r="X214" s="1487"/>
    </row>
    <row r="215" spans="1:24" ht="18" customHeight="1">
      <c r="A215" s="1273"/>
      <c r="B215" s="1268"/>
      <c r="C215" s="1265"/>
      <c r="D215" s="1265"/>
      <c r="E215" s="1265"/>
      <c r="F215" s="1276"/>
      <c r="G215" s="1276"/>
      <c r="H215" s="683"/>
      <c r="I215" s="1963"/>
      <c r="J215" s="845"/>
      <c r="K215" s="1360" t="s">
        <v>1663</v>
      </c>
      <c r="L215" s="1380" t="s">
        <v>464</v>
      </c>
      <c r="M215" s="666">
        <v>9600</v>
      </c>
      <c r="N215" s="1493" t="s">
        <v>1885</v>
      </c>
      <c r="O215" s="1484"/>
      <c r="P215" s="1470">
        <v>800000</v>
      </c>
      <c r="Q215" s="1471">
        <v>12</v>
      </c>
      <c r="R215" s="1471"/>
      <c r="S215" s="1471"/>
      <c r="T215" s="1478"/>
      <c r="U215" s="1478"/>
      <c r="V215" s="1486"/>
      <c r="W215" s="1487"/>
      <c r="X215" s="1487"/>
    </row>
    <row r="216" spans="1:24" ht="18" customHeight="1">
      <c r="A216" s="1273"/>
      <c r="B216" s="1268"/>
      <c r="C216" s="1265"/>
      <c r="D216" s="1265"/>
      <c r="E216" s="1265"/>
      <c r="F216" s="1276"/>
      <c r="G216" s="1276"/>
      <c r="H216" s="683"/>
      <c r="I216" s="1963"/>
      <c r="J216" s="845"/>
      <c r="K216" s="1360" t="s">
        <v>1664</v>
      </c>
      <c r="L216" s="1380" t="s">
        <v>464</v>
      </c>
      <c r="M216" s="1078">
        <v>6600</v>
      </c>
      <c r="N216" s="1493"/>
      <c r="O216" s="1484"/>
      <c r="P216" s="1470">
        <v>550000</v>
      </c>
      <c r="Q216" s="1471">
        <v>12</v>
      </c>
      <c r="R216" s="1471"/>
      <c r="S216" s="1471"/>
      <c r="T216" s="1478"/>
      <c r="U216" s="1478"/>
      <c r="V216" s="1486"/>
      <c r="W216" s="1487"/>
      <c r="X216" s="1487"/>
    </row>
    <row r="217" spans="1:24" ht="18" customHeight="1">
      <c r="A217" s="1273"/>
      <c r="B217" s="1268"/>
      <c r="C217" s="1265"/>
      <c r="D217" s="1265"/>
      <c r="E217" s="1265"/>
      <c r="F217" s="1276"/>
      <c r="G217" s="1277" t="s">
        <v>1498</v>
      </c>
      <c r="H217" s="1876">
        <f>M217</f>
        <v>4320</v>
      </c>
      <c r="I217" s="1961">
        <v>6600</v>
      </c>
      <c r="J217" s="594">
        <f>H217-I217</f>
        <v>-2280</v>
      </c>
      <c r="K217" s="1387" t="s">
        <v>991</v>
      </c>
      <c r="L217" s="1388"/>
      <c r="M217" s="1824">
        <f>M218</f>
        <v>4320</v>
      </c>
      <c r="N217" s="1494"/>
      <c r="O217" s="1484"/>
      <c r="P217" s="1470"/>
      <c r="Q217" s="1471"/>
      <c r="R217" s="1471"/>
      <c r="S217" s="1471"/>
      <c r="T217" s="1478"/>
      <c r="U217" s="1478"/>
      <c r="V217" s="1486"/>
      <c r="W217" s="1487"/>
      <c r="X217" s="1487"/>
    </row>
    <row r="218" spans="1:24" ht="18" customHeight="1">
      <c r="A218" s="1273"/>
      <c r="B218" s="1268"/>
      <c r="C218" s="1265"/>
      <c r="D218" s="1265"/>
      <c r="E218" s="1265"/>
      <c r="F218" s="1276"/>
      <c r="G218" s="1278"/>
      <c r="H218" s="683"/>
      <c r="I218" s="1963"/>
      <c r="J218" s="845"/>
      <c r="K218" s="1360" t="s">
        <v>1665</v>
      </c>
      <c r="L218" s="1380" t="s">
        <v>464</v>
      </c>
      <c r="M218" s="666">
        <v>4320</v>
      </c>
      <c r="N218" s="1492"/>
      <c r="O218" s="1484"/>
      <c r="P218" s="1470">
        <v>360000</v>
      </c>
      <c r="Q218" s="1471">
        <v>12</v>
      </c>
      <c r="R218" s="1471"/>
      <c r="S218" s="1471"/>
      <c r="T218" s="1478"/>
      <c r="U218" s="1478"/>
      <c r="V218" s="1486"/>
      <c r="W218" s="1487"/>
      <c r="X218" s="1487"/>
    </row>
    <row r="219" spans="1:24" ht="18" customHeight="1">
      <c r="A219" s="1273"/>
      <c r="B219" s="1268"/>
      <c r="C219" s="1265"/>
      <c r="D219" s="1265"/>
      <c r="E219" s="1265"/>
      <c r="F219" s="1276"/>
      <c r="G219" s="1277" t="s">
        <v>1499</v>
      </c>
      <c r="H219" s="1876">
        <f>M219</f>
        <v>0</v>
      </c>
      <c r="I219" s="1961">
        <v>500</v>
      </c>
      <c r="J219" s="594">
        <f>H219-I219</f>
        <v>-500</v>
      </c>
      <c r="K219" s="1387" t="s">
        <v>992</v>
      </c>
      <c r="L219" s="1384"/>
      <c r="M219" s="1534">
        <f>M220</f>
        <v>0</v>
      </c>
      <c r="N219" s="1494"/>
      <c r="O219" s="1484"/>
      <c r="P219" s="1470"/>
      <c r="Q219" s="1471"/>
      <c r="R219" s="1471"/>
      <c r="S219" s="1471"/>
      <c r="T219" s="1478"/>
      <c r="U219" s="1478"/>
      <c r="V219" s="1486"/>
      <c r="W219" s="1487"/>
      <c r="X219" s="1487"/>
    </row>
    <row r="220" spans="1:24" ht="18" customHeight="1">
      <c r="A220" s="1273"/>
      <c r="B220" s="1268"/>
      <c r="C220" s="1265"/>
      <c r="D220" s="1265"/>
      <c r="E220" s="1265"/>
      <c r="F220" s="1276"/>
      <c r="G220" s="1279"/>
      <c r="H220" s="1864"/>
      <c r="I220" s="1963"/>
      <c r="J220" s="845"/>
      <c r="K220" s="1389" t="s">
        <v>1666</v>
      </c>
      <c r="L220" s="1386" t="s">
        <v>242</v>
      </c>
      <c r="M220" s="1078">
        <v>0</v>
      </c>
      <c r="N220" s="1492" t="s">
        <v>1886</v>
      </c>
      <c r="O220" s="1484"/>
      <c r="P220" s="1470"/>
      <c r="Q220" s="1471"/>
      <c r="R220" s="1471"/>
      <c r="S220" s="1471"/>
      <c r="T220" s="1478"/>
      <c r="U220" s="1478"/>
      <c r="V220" s="1486"/>
      <c r="W220" s="1487"/>
      <c r="X220" s="1487"/>
    </row>
    <row r="221" spans="1:24" ht="18" customHeight="1">
      <c r="A221" s="1273"/>
      <c r="B221" s="1268"/>
      <c r="C221" s="1265"/>
      <c r="D221" s="1265"/>
      <c r="E221" s="1265"/>
      <c r="F221" s="1278"/>
      <c r="G221" s="1270" t="s">
        <v>1500</v>
      </c>
      <c r="H221" s="683">
        <f>M221</f>
        <v>132518</v>
      </c>
      <c r="I221" s="1961">
        <v>132843</v>
      </c>
      <c r="J221" s="594">
        <f>H221-I221</f>
        <v>-325</v>
      </c>
      <c r="K221" s="1387" t="s">
        <v>1222</v>
      </c>
      <c r="L221" s="1388"/>
      <c r="M221" s="1824">
        <f>M222+M223+M224+M225+M226+M227+M228+M229</f>
        <v>132518</v>
      </c>
      <c r="N221" s="1490"/>
      <c r="O221" s="1484"/>
      <c r="P221" s="1470"/>
      <c r="Q221" s="1471"/>
      <c r="R221" s="1471"/>
      <c r="S221" s="1471"/>
      <c r="T221" s="1478"/>
      <c r="U221" s="1478"/>
      <c r="V221" s="1486"/>
      <c r="W221" s="1487"/>
      <c r="X221" s="1487"/>
    </row>
    <row r="222" spans="1:24" ht="18" customHeight="1">
      <c r="A222" s="1273"/>
      <c r="B222" s="1268"/>
      <c r="C222" s="1265"/>
      <c r="D222" s="1265"/>
      <c r="E222" s="1265"/>
      <c r="F222" s="1276"/>
      <c r="G222" s="1280"/>
      <c r="H222" s="683"/>
      <c r="I222" s="1963"/>
      <c r="J222" s="845"/>
      <c r="K222" s="1383" t="s">
        <v>1667</v>
      </c>
      <c r="L222" s="1386" t="s">
        <v>242</v>
      </c>
      <c r="M222" s="666">
        <v>1063</v>
      </c>
      <c r="N222" s="1495" t="s">
        <v>1887</v>
      </c>
      <c r="O222" s="1484"/>
      <c r="P222" s="1470">
        <v>250</v>
      </c>
      <c r="Q222" s="1471">
        <v>4250</v>
      </c>
      <c r="R222" s="1471">
        <v>1</v>
      </c>
      <c r="S222" s="1471"/>
      <c r="T222" s="1478"/>
      <c r="U222" s="1478"/>
      <c r="V222" s="1486"/>
      <c r="W222" s="1487"/>
      <c r="X222" s="1487"/>
    </row>
    <row r="223" spans="1:24" ht="18" customHeight="1">
      <c r="A223" s="1273"/>
      <c r="B223" s="1268"/>
      <c r="C223" s="1265"/>
      <c r="D223" s="1265"/>
      <c r="E223" s="1265"/>
      <c r="F223" s="1280"/>
      <c r="G223" s="1280"/>
      <c r="H223" s="683"/>
      <c r="I223" s="1963"/>
      <c r="J223" s="845"/>
      <c r="K223" s="1360" t="s">
        <v>1668</v>
      </c>
      <c r="L223" s="1380" t="s">
        <v>464</v>
      </c>
      <c r="M223" s="666">
        <v>2520</v>
      </c>
      <c r="N223" s="1495" t="s">
        <v>1888</v>
      </c>
      <c r="O223" s="1484"/>
      <c r="P223" s="1470">
        <v>210000</v>
      </c>
      <c r="Q223" s="1471">
        <v>12</v>
      </c>
      <c r="R223" s="1471"/>
      <c r="S223" s="1471"/>
      <c r="T223" s="1478"/>
      <c r="U223" s="1478"/>
      <c r="V223" s="1486"/>
      <c r="W223" s="1487"/>
      <c r="X223" s="1487"/>
    </row>
    <row r="224" spans="1:24" ht="18" customHeight="1">
      <c r="A224" s="1273"/>
      <c r="B224" s="1268"/>
      <c r="C224" s="1265"/>
      <c r="D224" s="1265"/>
      <c r="E224" s="1265"/>
      <c r="F224" s="1279"/>
      <c r="G224" s="1279"/>
      <c r="H224" s="683"/>
      <c r="I224" s="1963"/>
      <c r="J224" s="845"/>
      <c r="K224" s="1360" t="s">
        <v>1669</v>
      </c>
      <c r="L224" s="1380" t="s">
        <v>464</v>
      </c>
      <c r="M224" s="666">
        <v>33600</v>
      </c>
      <c r="N224" s="1496" t="s">
        <v>1889</v>
      </c>
      <c r="O224" s="1484"/>
      <c r="P224" s="1470">
        <v>2800000</v>
      </c>
      <c r="Q224" s="1471">
        <v>12</v>
      </c>
      <c r="R224" s="1471"/>
      <c r="S224" s="1471"/>
      <c r="T224" s="1478"/>
      <c r="U224" s="1478"/>
      <c r="V224" s="1486"/>
      <c r="W224" s="1487"/>
      <c r="X224" s="1487"/>
    </row>
    <row r="225" spans="1:24" ht="18" customHeight="1">
      <c r="A225" s="1273"/>
      <c r="B225" s="1268"/>
      <c r="C225" s="1265"/>
      <c r="D225" s="1265"/>
      <c r="E225" s="1265"/>
      <c r="F225" s="1279"/>
      <c r="G225" s="1279"/>
      <c r="H225" s="683"/>
      <c r="I225" s="1963"/>
      <c r="J225" s="845"/>
      <c r="K225" s="1360" t="s">
        <v>1670</v>
      </c>
      <c r="L225" s="1380" t="s">
        <v>464</v>
      </c>
      <c r="M225" s="666">
        <v>63600</v>
      </c>
      <c r="N225" s="1496" t="s">
        <v>1890</v>
      </c>
      <c r="O225" s="1484"/>
      <c r="P225" s="1470">
        <v>5300000</v>
      </c>
      <c r="Q225" s="1471">
        <v>12</v>
      </c>
      <c r="R225" s="1471"/>
      <c r="S225" s="1471"/>
      <c r="T225" s="1478"/>
      <c r="U225" s="1478"/>
      <c r="V225" s="1486"/>
      <c r="W225" s="1487"/>
      <c r="X225" s="1487"/>
    </row>
    <row r="226" spans="1:24" ht="18" customHeight="1">
      <c r="A226" s="1273"/>
      <c r="B226" s="1268"/>
      <c r="C226" s="1265"/>
      <c r="D226" s="1265"/>
      <c r="E226" s="1265"/>
      <c r="F226" s="1279"/>
      <c r="G226" s="1279"/>
      <c r="H226" s="683"/>
      <c r="I226" s="1963"/>
      <c r="J226" s="845"/>
      <c r="K226" s="1360" t="s">
        <v>1671</v>
      </c>
      <c r="L226" s="1380" t="s">
        <v>464</v>
      </c>
      <c r="M226" s="666">
        <v>31200</v>
      </c>
      <c r="N226" s="1496" t="s">
        <v>1891</v>
      </c>
      <c r="O226" s="1484"/>
      <c r="P226" s="1470">
        <v>2600000</v>
      </c>
      <c r="Q226" s="1471">
        <v>12</v>
      </c>
      <c r="R226" s="1471"/>
      <c r="S226" s="1471"/>
      <c r="T226" s="1478"/>
      <c r="U226" s="1478"/>
      <c r="V226" s="1486"/>
      <c r="W226" s="1487"/>
      <c r="X226" s="1487"/>
    </row>
    <row r="227" spans="1:24" ht="18" customHeight="1">
      <c r="A227" s="1273"/>
      <c r="B227" s="1268"/>
      <c r="C227" s="1265"/>
      <c r="D227" s="1265"/>
      <c r="E227" s="1265"/>
      <c r="F227" s="1279"/>
      <c r="G227" s="1279"/>
      <c r="H227" s="683"/>
      <c r="I227" s="1963"/>
      <c r="J227" s="845"/>
      <c r="K227" s="1322" t="s">
        <v>1672</v>
      </c>
      <c r="L227" s="1380" t="s">
        <v>464</v>
      </c>
      <c r="M227" s="666">
        <v>480</v>
      </c>
      <c r="N227" s="1495" t="s">
        <v>1892</v>
      </c>
      <c r="O227" s="1484"/>
      <c r="P227" s="1470">
        <v>40000</v>
      </c>
      <c r="Q227" s="1471">
        <v>12</v>
      </c>
      <c r="R227" s="1471"/>
      <c r="S227" s="1471"/>
      <c r="T227" s="1478"/>
      <c r="U227" s="1478"/>
      <c r="V227" s="1486"/>
      <c r="W227" s="1487"/>
      <c r="X227" s="1487"/>
    </row>
    <row r="228" spans="1:24" ht="18" customHeight="1">
      <c r="A228" s="1273"/>
      <c r="B228" s="1268"/>
      <c r="C228" s="1265"/>
      <c r="D228" s="1265"/>
      <c r="E228" s="1265"/>
      <c r="F228" s="1279"/>
      <c r="G228" s="1279"/>
      <c r="H228" s="683"/>
      <c r="I228" s="1963"/>
      <c r="J228" s="845"/>
      <c r="K228" s="1360" t="s">
        <v>1632</v>
      </c>
      <c r="L228" s="1380" t="s">
        <v>464</v>
      </c>
      <c r="M228" s="666">
        <v>35</v>
      </c>
      <c r="N228" s="1495" t="s">
        <v>1893</v>
      </c>
      <c r="O228" s="1484"/>
      <c r="P228" s="1470">
        <v>35000</v>
      </c>
      <c r="Q228" s="1471">
        <v>1</v>
      </c>
      <c r="R228" s="1471"/>
      <c r="S228" s="1471"/>
      <c r="T228" s="1478"/>
      <c r="U228" s="1478"/>
      <c r="V228" s="1486"/>
      <c r="W228" s="1487"/>
      <c r="X228" s="1487"/>
    </row>
    <row r="229" spans="1:24" ht="18" customHeight="1">
      <c r="A229" s="1273"/>
      <c r="B229" s="1268"/>
      <c r="C229" s="1265"/>
      <c r="D229" s="1265"/>
      <c r="E229" s="1265"/>
      <c r="F229" s="1280"/>
      <c r="G229" s="1280"/>
      <c r="H229" s="683"/>
      <c r="I229" s="1963"/>
      <c r="J229" s="845"/>
      <c r="K229" s="1390" t="s">
        <v>1631</v>
      </c>
      <c r="L229" s="1380" t="s">
        <v>464</v>
      </c>
      <c r="M229" s="666">
        <v>20</v>
      </c>
      <c r="N229" s="1495" t="s">
        <v>1894</v>
      </c>
      <c r="O229" s="1484"/>
      <c r="P229" s="1470">
        <v>20000</v>
      </c>
      <c r="Q229" s="1471">
        <v>1</v>
      </c>
      <c r="R229" s="1471"/>
      <c r="S229" s="1471"/>
      <c r="T229" s="1478"/>
      <c r="U229" s="1478"/>
      <c r="V229" s="1486"/>
      <c r="W229" s="1487"/>
      <c r="X229" s="1487"/>
    </row>
    <row r="230" spans="1:24" ht="18" customHeight="1">
      <c r="A230" s="340"/>
      <c r="B230" s="344"/>
      <c r="C230" s="344"/>
      <c r="D230" s="341" t="s">
        <v>1501</v>
      </c>
      <c r="E230" s="342"/>
      <c r="F230" s="342"/>
      <c r="G230" s="343"/>
      <c r="H230" s="1856">
        <f>H231</f>
        <v>42910</v>
      </c>
      <c r="I230" s="1857">
        <v>34244</v>
      </c>
      <c r="J230" s="1533">
        <f>H230-I230</f>
        <v>8666</v>
      </c>
      <c r="K230" s="494"/>
      <c r="L230" s="541"/>
      <c r="M230" s="668"/>
      <c r="N230" s="2141"/>
      <c r="O230" s="609"/>
      <c r="P230" s="610"/>
      <c r="Q230" s="1426"/>
      <c r="R230" s="1426"/>
      <c r="S230" s="1426"/>
      <c r="T230" s="1427"/>
      <c r="U230" s="387"/>
      <c r="V230" s="389"/>
      <c r="W230" s="389"/>
      <c r="X230" s="389"/>
    </row>
    <row r="231" spans="1:24" ht="18" customHeight="1">
      <c r="A231" s="340"/>
      <c r="B231" s="344"/>
      <c r="C231" s="347"/>
      <c r="D231" s="348"/>
      <c r="E231" s="341" t="s">
        <v>987</v>
      </c>
      <c r="F231" s="342"/>
      <c r="G231" s="343"/>
      <c r="H231" s="684">
        <f>H232+H235</f>
        <v>42910</v>
      </c>
      <c r="I231" s="1857">
        <v>34244</v>
      </c>
      <c r="J231" s="601">
        <f t="shared" ref="J231:J233" si="6">H231-I231</f>
        <v>8666</v>
      </c>
      <c r="K231" s="427"/>
      <c r="L231" s="428"/>
      <c r="M231" s="668"/>
      <c r="N231" s="1306"/>
      <c r="O231" s="1482"/>
      <c r="P231" s="610"/>
      <c r="Q231" s="1426"/>
      <c r="R231" s="1426"/>
      <c r="S231" s="1426"/>
      <c r="T231" s="1429"/>
      <c r="U231" s="387"/>
      <c r="V231" s="389"/>
      <c r="W231" s="389"/>
      <c r="X231" s="389"/>
    </row>
    <row r="232" spans="1:24" ht="18" customHeight="1">
      <c r="A232" s="1273"/>
      <c r="B232" s="1268"/>
      <c r="C232" s="1265"/>
      <c r="D232" s="1265"/>
      <c r="E232" s="1265"/>
      <c r="F232" s="2430" t="s">
        <v>1502</v>
      </c>
      <c r="G232" s="2430"/>
      <c r="H232" s="1876">
        <f>H233</f>
        <v>2160</v>
      </c>
      <c r="I232" s="1960">
        <v>395</v>
      </c>
      <c r="J232" s="595">
        <f t="shared" si="6"/>
        <v>1765</v>
      </c>
      <c r="K232" s="1532"/>
      <c r="L232" s="1391"/>
      <c r="M232" s="668"/>
      <c r="N232" s="1497"/>
      <c r="O232" s="1484"/>
      <c r="P232" s="1470"/>
      <c r="Q232" s="1471"/>
      <c r="R232" s="1471"/>
      <c r="S232" s="1471"/>
      <c r="T232" s="1478"/>
      <c r="U232" s="1478"/>
      <c r="V232" s="1486"/>
      <c r="W232" s="1487"/>
      <c r="X232" s="1487"/>
    </row>
    <row r="233" spans="1:24" ht="18" customHeight="1">
      <c r="A233" s="1273"/>
      <c r="B233" s="1268"/>
      <c r="C233" s="1265"/>
      <c r="D233" s="1265"/>
      <c r="E233" s="1265"/>
      <c r="F233" s="1277"/>
      <c r="G233" s="1275" t="s">
        <v>1503</v>
      </c>
      <c r="H233" s="1876">
        <f>M233</f>
        <v>2160</v>
      </c>
      <c r="I233" s="1961">
        <v>395</v>
      </c>
      <c r="J233" s="594">
        <f t="shared" si="6"/>
        <v>1765</v>
      </c>
      <c r="K233" s="1392" t="s">
        <v>1503</v>
      </c>
      <c r="L233" s="1388"/>
      <c r="M233" s="1824">
        <f>M234</f>
        <v>2160</v>
      </c>
      <c r="N233" s="1490"/>
      <c r="O233" s="1484"/>
      <c r="P233" s="1470"/>
      <c r="Q233" s="1471"/>
      <c r="R233" s="1471"/>
      <c r="S233" s="1471"/>
      <c r="T233" s="1478"/>
      <c r="U233" s="1478"/>
      <c r="V233" s="1486"/>
      <c r="W233" s="1487"/>
      <c r="X233" s="1487"/>
    </row>
    <row r="234" spans="1:24" ht="18" customHeight="1">
      <c r="A234" s="1273"/>
      <c r="B234" s="1268"/>
      <c r="C234" s="1265"/>
      <c r="D234" s="1265"/>
      <c r="E234" s="1265"/>
      <c r="F234" s="1276"/>
      <c r="G234" s="1281"/>
      <c r="H234" s="1862"/>
      <c r="I234" s="1964"/>
      <c r="J234" s="845"/>
      <c r="K234" s="1393" t="s">
        <v>1673</v>
      </c>
      <c r="L234" s="1394" t="s">
        <v>464</v>
      </c>
      <c r="M234" s="666">
        <v>2160</v>
      </c>
      <c r="N234" s="1489" t="s">
        <v>1895</v>
      </c>
      <c r="O234" s="1484"/>
      <c r="P234" s="1470">
        <v>180000</v>
      </c>
      <c r="Q234" s="1471">
        <v>12</v>
      </c>
      <c r="R234" s="1471"/>
      <c r="S234" s="1471"/>
      <c r="T234" s="1478"/>
      <c r="U234" s="1478"/>
      <c r="V234" s="1486"/>
      <c r="W234" s="1487"/>
      <c r="X234" s="1487"/>
    </row>
    <row r="235" spans="1:24" ht="18" customHeight="1">
      <c r="A235" s="1273"/>
      <c r="B235" s="1268"/>
      <c r="C235" s="1265"/>
      <c r="D235" s="1282"/>
      <c r="E235" s="1282"/>
      <c r="F235" s="1283" t="s">
        <v>1002</v>
      </c>
      <c r="G235" s="1284"/>
      <c r="H235" s="1876">
        <f>H236</f>
        <v>40750</v>
      </c>
      <c r="I235" s="1965">
        <v>33849</v>
      </c>
      <c r="J235" s="597">
        <f>H235-I235</f>
        <v>6901</v>
      </c>
      <c r="K235" s="1395"/>
      <c r="L235" s="1396"/>
      <c r="M235" s="668"/>
      <c r="N235" s="1498"/>
      <c r="O235" s="1484"/>
      <c r="P235" s="1470"/>
      <c r="Q235" s="1471"/>
      <c r="R235" s="1471"/>
      <c r="S235" s="1471"/>
      <c r="T235" s="1478"/>
      <c r="U235" s="1478"/>
      <c r="V235" s="1486"/>
      <c r="W235" s="1487"/>
      <c r="X235" s="1487"/>
    </row>
    <row r="236" spans="1:24" ht="18" customHeight="1">
      <c r="A236" s="1273"/>
      <c r="B236" s="1268"/>
      <c r="C236" s="1265"/>
      <c r="D236" s="1282"/>
      <c r="E236" s="1282"/>
      <c r="F236" s="1285"/>
      <c r="G236" s="1278" t="s">
        <v>1504</v>
      </c>
      <c r="H236" s="1876">
        <f>M236</f>
        <v>40750</v>
      </c>
      <c r="I236" s="1966">
        <v>33849</v>
      </c>
      <c r="J236" s="845">
        <f>H236-I236</f>
        <v>6901</v>
      </c>
      <c r="K236" s="1397" t="s">
        <v>418</v>
      </c>
      <c r="L236" s="1388"/>
      <c r="M236" s="1824">
        <f>M237+M238+M239+M240</f>
        <v>40750</v>
      </c>
      <c r="N236" s="1499"/>
      <c r="O236" s="1484"/>
      <c r="P236" s="1470"/>
      <c r="Q236" s="1471"/>
      <c r="R236" s="1471"/>
      <c r="S236" s="1471"/>
      <c r="T236" s="1478"/>
      <c r="U236" s="1478"/>
      <c r="V236" s="1486"/>
      <c r="W236" s="1487"/>
      <c r="X236" s="1487"/>
    </row>
    <row r="237" spans="1:24" ht="18" customHeight="1">
      <c r="A237" s="1273"/>
      <c r="B237" s="1268"/>
      <c r="C237" s="1265"/>
      <c r="D237" s="1265"/>
      <c r="E237" s="1265"/>
      <c r="F237" s="1280"/>
      <c r="G237" s="1280"/>
      <c r="H237" s="1862"/>
      <c r="I237" s="1966"/>
      <c r="J237" s="845"/>
      <c r="K237" s="1398" t="s">
        <v>1674</v>
      </c>
      <c r="L237" s="1380" t="s">
        <v>242</v>
      </c>
      <c r="M237" s="666">
        <v>33000</v>
      </c>
      <c r="N237" s="1492"/>
      <c r="O237" s="1484"/>
      <c r="P237" s="1470">
        <v>33000000</v>
      </c>
      <c r="Q237" s="1471">
        <v>1</v>
      </c>
      <c r="R237" s="1471"/>
      <c r="S237" s="1471"/>
      <c r="T237" s="1478"/>
      <c r="U237" s="1478"/>
      <c r="V237" s="1486"/>
      <c r="W237" s="1487"/>
      <c r="X237" s="1487"/>
    </row>
    <row r="238" spans="1:24" ht="18" customHeight="1">
      <c r="A238" s="1273"/>
      <c r="B238" s="1268"/>
      <c r="C238" s="1265"/>
      <c r="D238" s="1265"/>
      <c r="E238" s="1265"/>
      <c r="F238" s="1280"/>
      <c r="G238" s="1280"/>
      <c r="H238" s="1862"/>
      <c r="I238" s="1967"/>
      <c r="J238" s="590"/>
      <c r="K238" s="1399" t="s">
        <v>1675</v>
      </c>
      <c r="L238" s="1380" t="s">
        <v>242</v>
      </c>
      <c r="M238" s="666">
        <v>2500</v>
      </c>
      <c r="N238" s="1500"/>
      <c r="O238" s="1484"/>
      <c r="P238" s="1470">
        <v>2500000</v>
      </c>
      <c r="Q238" s="1471">
        <v>1</v>
      </c>
      <c r="R238" s="1471"/>
      <c r="S238" s="1471"/>
      <c r="T238" s="1478"/>
      <c r="U238" s="1478"/>
      <c r="V238" s="1486"/>
      <c r="W238" s="1487"/>
      <c r="X238" s="1487"/>
    </row>
    <row r="239" spans="1:24" ht="18" customHeight="1">
      <c r="A239" s="1273"/>
      <c r="B239" s="1268"/>
      <c r="C239" s="1265"/>
      <c r="D239" s="1265"/>
      <c r="E239" s="1265"/>
      <c r="F239" s="1280"/>
      <c r="G239" s="1280"/>
      <c r="H239" s="1862"/>
      <c r="I239" s="1967"/>
      <c r="J239" s="590"/>
      <c r="K239" s="1399" t="s">
        <v>1676</v>
      </c>
      <c r="L239" s="1380" t="s">
        <v>242</v>
      </c>
      <c r="M239" s="666">
        <v>3150</v>
      </c>
      <c r="N239" s="1492"/>
      <c r="O239" s="1484"/>
      <c r="P239" s="1470">
        <v>350000</v>
      </c>
      <c r="Q239" s="1471">
        <v>9</v>
      </c>
      <c r="R239" s="1471"/>
      <c r="S239" s="1471"/>
      <c r="T239" s="1478"/>
      <c r="U239" s="1478"/>
      <c r="V239" s="1486"/>
      <c r="W239" s="1487"/>
      <c r="X239" s="1487"/>
    </row>
    <row r="240" spans="1:24" ht="18" customHeight="1">
      <c r="A240" s="1273"/>
      <c r="B240" s="1268"/>
      <c r="C240" s="1265"/>
      <c r="D240" s="1265"/>
      <c r="E240" s="1265"/>
      <c r="F240" s="1280"/>
      <c r="G240" s="1280"/>
      <c r="H240" s="1862"/>
      <c r="I240" s="1967"/>
      <c r="J240" s="590"/>
      <c r="K240" s="1399" t="s">
        <v>1677</v>
      </c>
      <c r="L240" s="1380" t="s">
        <v>242</v>
      </c>
      <c r="M240" s="666">
        <v>2100</v>
      </c>
      <c r="N240" s="1492"/>
      <c r="O240" s="1484"/>
      <c r="P240" s="1470">
        <v>2100000</v>
      </c>
      <c r="Q240" s="1471">
        <v>1</v>
      </c>
      <c r="R240" s="1471"/>
      <c r="S240" s="1478"/>
      <c r="T240" s="1478"/>
      <c r="U240" s="1478"/>
      <c r="V240" s="1486"/>
      <c r="W240" s="1487"/>
      <c r="X240" s="1487"/>
    </row>
    <row r="241" spans="1:24" ht="18" customHeight="1">
      <c r="A241" s="340"/>
      <c r="B241" s="344"/>
      <c r="C241" s="317" t="s">
        <v>320</v>
      </c>
      <c r="D241" s="342"/>
      <c r="E241" s="342"/>
      <c r="F241" s="342"/>
      <c r="G241" s="343"/>
      <c r="H241" s="1875">
        <f>H242+H323</f>
        <v>750000</v>
      </c>
      <c r="I241" s="1867">
        <v>0</v>
      </c>
      <c r="J241" s="601">
        <f>H241-I241</f>
        <v>750000</v>
      </c>
      <c r="K241" s="540"/>
      <c r="L241" s="541"/>
      <c r="M241" s="1534"/>
      <c r="N241" s="2142"/>
      <c r="O241" s="1428"/>
      <c r="P241" s="1428"/>
      <c r="Q241" s="1428"/>
      <c r="R241" s="1428"/>
      <c r="S241" s="1428"/>
      <c r="T241" s="1428"/>
      <c r="U241" s="1428"/>
      <c r="V241" s="389"/>
      <c r="W241" s="389"/>
      <c r="X241" s="389"/>
    </row>
    <row r="242" spans="1:24" ht="18" customHeight="1">
      <c r="A242" s="340"/>
      <c r="B242" s="344"/>
      <c r="C242" s="346"/>
      <c r="D242" s="341" t="s">
        <v>1505</v>
      </c>
      <c r="E242" s="342"/>
      <c r="F242" s="342"/>
      <c r="G242" s="343"/>
      <c r="H242" s="1875">
        <f>H243+H274</f>
        <v>737800</v>
      </c>
      <c r="I242" s="1968">
        <v>0</v>
      </c>
      <c r="J242" s="607">
        <f t="shared" ref="J242:J245" si="7">H242-I242</f>
        <v>737800</v>
      </c>
      <c r="K242" s="425"/>
      <c r="L242" s="777"/>
      <c r="M242" s="668"/>
      <c r="N242" s="2141"/>
      <c r="O242" s="609"/>
      <c r="P242" s="610"/>
      <c r="Q242" s="1426"/>
      <c r="R242" s="1426"/>
      <c r="S242" s="1426"/>
      <c r="T242" s="1427"/>
      <c r="U242" s="387"/>
      <c r="V242" s="389"/>
      <c r="W242" s="389"/>
      <c r="X242" s="389"/>
    </row>
    <row r="243" spans="1:24" ht="18" customHeight="1">
      <c r="A243" s="340"/>
      <c r="B243" s="344"/>
      <c r="C243" s="702"/>
      <c r="D243" s="348"/>
      <c r="E243" s="341" t="s">
        <v>984</v>
      </c>
      <c r="F243" s="342"/>
      <c r="G243" s="343"/>
      <c r="H243" s="1875">
        <f>H244</f>
        <v>378953</v>
      </c>
      <c r="I243" s="1867">
        <v>0</v>
      </c>
      <c r="J243" s="601">
        <f t="shared" si="7"/>
        <v>378953</v>
      </c>
      <c r="K243" s="427"/>
      <c r="L243" s="428"/>
      <c r="M243" s="668"/>
      <c r="N243" s="2141"/>
      <c r="O243" s="609"/>
      <c r="P243" s="610"/>
      <c r="Q243" s="1426"/>
      <c r="R243" s="1426"/>
      <c r="S243" s="1426"/>
      <c r="T243" s="1429"/>
      <c r="U243" s="387"/>
      <c r="V243" s="389"/>
      <c r="W243" s="389"/>
      <c r="X243" s="389"/>
    </row>
    <row r="244" spans="1:24" ht="18" customHeight="1">
      <c r="A244" s="1229"/>
      <c r="B244" s="1230"/>
      <c r="C244" s="1231"/>
      <c r="D244" s="1232"/>
      <c r="E244" s="1233"/>
      <c r="F244" s="1234" t="s">
        <v>444</v>
      </c>
      <c r="G244" s="1235"/>
      <c r="H244" s="1868">
        <f>H245</f>
        <v>378953</v>
      </c>
      <c r="I244" s="1959">
        <v>0</v>
      </c>
      <c r="J244" s="597">
        <f t="shared" si="7"/>
        <v>378953</v>
      </c>
      <c r="K244" s="1530"/>
      <c r="L244" s="1351"/>
      <c r="M244" s="668"/>
      <c r="N244" s="2153"/>
      <c r="O244" s="1467"/>
      <c r="P244" s="1467"/>
      <c r="Q244" s="1467"/>
      <c r="R244" s="1467"/>
      <c r="S244" s="1467"/>
      <c r="T244" s="1467"/>
      <c r="U244" s="1467"/>
      <c r="V244" s="1467"/>
      <c r="W244" s="1467"/>
      <c r="X244" s="1467"/>
    </row>
    <row r="245" spans="1:24" ht="18" customHeight="1">
      <c r="A245" s="1229"/>
      <c r="B245" s="1230"/>
      <c r="C245" s="1230"/>
      <c r="D245" s="1236"/>
      <c r="E245" s="1237"/>
      <c r="F245" s="1237"/>
      <c r="G245" s="1238" t="s">
        <v>447</v>
      </c>
      <c r="H245" s="1862">
        <f>M245</f>
        <v>378953</v>
      </c>
      <c r="I245" s="1956">
        <v>0</v>
      </c>
      <c r="J245" s="594">
        <f t="shared" si="7"/>
        <v>378953</v>
      </c>
      <c r="K245" s="1352" t="s">
        <v>1003</v>
      </c>
      <c r="L245" s="1329"/>
      <c r="M245" s="1824">
        <f>M246+M256+M264+M270+M271</f>
        <v>378953</v>
      </c>
      <c r="N245" s="2153"/>
      <c r="O245" s="1468"/>
      <c r="P245" s="1467"/>
      <c r="Q245" s="1467"/>
      <c r="R245" s="1467"/>
      <c r="S245" s="1467"/>
      <c r="T245" s="1467"/>
      <c r="U245" s="1467"/>
      <c r="V245" s="1467"/>
      <c r="W245" s="1467"/>
      <c r="X245" s="1467"/>
    </row>
    <row r="246" spans="1:24" ht="18" customHeight="1">
      <c r="A246" s="1229"/>
      <c r="B246" s="1230"/>
      <c r="C246" s="1230"/>
      <c r="D246" s="1236"/>
      <c r="E246" s="1237"/>
      <c r="F246" s="1237"/>
      <c r="G246" s="1239"/>
      <c r="H246" s="1862"/>
      <c r="I246" s="1957"/>
      <c r="J246" s="845"/>
      <c r="K246" s="1383" t="s">
        <v>1678</v>
      </c>
      <c r="L246" s="1312"/>
      <c r="M246" s="1824">
        <f>SUM(M247:M255)</f>
        <v>131368</v>
      </c>
      <c r="N246" s="1501" t="s">
        <v>1896</v>
      </c>
      <c r="O246" s="1468"/>
      <c r="P246" s="1430"/>
      <c r="Q246" s="1467"/>
      <c r="R246" s="1467"/>
      <c r="S246" s="1467"/>
      <c r="T246" s="1467"/>
      <c r="U246" s="1467"/>
      <c r="V246" s="1467"/>
      <c r="W246" s="1467"/>
      <c r="X246" s="1467"/>
    </row>
    <row r="247" spans="1:24" ht="18" customHeight="1">
      <c r="A247" s="1229"/>
      <c r="B247" s="1230"/>
      <c r="C247" s="1230"/>
      <c r="D247" s="1236"/>
      <c r="E247" s="1237"/>
      <c r="F247" s="1237"/>
      <c r="G247" s="1239"/>
      <c r="H247" s="1862"/>
      <c r="I247" s="1957"/>
      <c r="J247" s="845"/>
      <c r="K247" s="1354" t="s">
        <v>1679</v>
      </c>
      <c r="L247" s="1355" t="s">
        <v>464</v>
      </c>
      <c r="M247" s="666">
        <v>55884</v>
      </c>
      <c r="N247" s="1502"/>
      <c r="O247" s="1469"/>
      <c r="P247" s="1470">
        <v>11340</v>
      </c>
      <c r="Q247" s="1471">
        <v>8</v>
      </c>
      <c r="R247" s="1471">
        <v>4</v>
      </c>
      <c r="S247" s="1471">
        <v>22</v>
      </c>
      <c r="T247" s="1471">
        <v>7</v>
      </c>
      <c r="U247" s="1467"/>
      <c r="V247" s="1467"/>
      <c r="W247" s="1467"/>
      <c r="X247" s="1467"/>
    </row>
    <row r="248" spans="1:24" ht="18" customHeight="1">
      <c r="A248" s="1229"/>
      <c r="B248" s="1230"/>
      <c r="C248" s="1230"/>
      <c r="D248" s="1236"/>
      <c r="E248" s="1237"/>
      <c r="F248" s="1237"/>
      <c r="G248" s="1239"/>
      <c r="H248" s="1862"/>
      <c r="I248" s="1957"/>
      <c r="J248" s="845"/>
      <c r="K248" s="1354" t="s">
        <v>1680</v>
      </c>
      <c r="L248" s="1355" t="s">
        <v>464</v>
      </c>
      <c r="M248" s="666">
        <v>29568</v>
      </c>
      <c r="N248" s="1503"/>
      <c r="O248" s="1469"/>
      <c r="P248" s="1470">
        <v>12000</v>
      </c>
      <c r="Q248" s="1471">
        <v>4</v>
      </c>
      <c r="R248" s="1471">
        <v>4</v>
      </c>
      <c r="S248" s="1471">
        <v>22</v>
      </c>
      <c r="T248" s="1471">
        <v>7</v>
      </c>
      <c r="U248" s="1467"/>
      <c r="V248" s="1467"/>
      <c r="W248" s="1467"/>
      <c r="X248" s="1467"/>
    </row>
    <row r="249" spans="1:24" ht="18" customHeight="1">
      <c r="A249" s="1229"/>
      <c r="B249" s="1230"/>
      <c r="C249" s="1230"/>
      <c r="D249" s="1236"/>
      <c r="E249" s="1237"/>
      <c r="F249" s="1237"/>
      <c r="G249" s="1239"/>
      <c r="H249" s="1862"/>
      <c r="I249" s="1957"/>
      <c r="J249" s="845"/>
      <c r="K249" s="1354" t="s">
        <v>1681</v>
      </c>
      <c r="L249" s="1355" t="s">
        <v>464</v>
      </c>
      <c r="M249" s="666">
        <v>7728</v>
      </c>
      <c r="N249" s="1504" t="s">
        <v>1897</v>
      </c>
      <c r="O249" s="1469"/>
      <c r="P249" s="1470">
        <v>23000</v>
      </c>
      <c r="Q249" s="1471">
        <v>8</v>
      </c>
      <c r="R249" s="1471">
        <v>1.5</v>
      </c>
      <c r="S249" s="1471">
        <v>4</v>
      </c>
      <c r="T249" s="1471">
        <v>7</v>
      </c>
      <c r="U249" s="1467"/>
      <c r="V249" s="1467"/>
      <c r="W249" s="1467"/>
      <c r="X249" s="1467"/>
    </row>
    <row r="250" spans="1:24" ht="18" customHeight="1">
      <c r="A250" s="1229"/>
      <c r="B250" s="1230"/>
      <c r="C250" s="1230"/>
      <c r="D250" s="1236"/>
      <c r="E250" s="1237"/>
      <c r="F250" s="1237"/>
      <c r="G250" s="1239"/>
      <c r="H250" s="1862"/>
      <c r="I250" s="1957"/>
      <c r="J250" s="845"/>
      <c r="K250" s="1354" t="s">
        <v>1682</v>
      </c>
      <c r="L250" s="1355" t="s">
        <v>464</v>
      </c>
      <c r="M250" s="666">
        <v>873</v>
      </c>
      <c r="N250" s="1502" t="s">
        <v>1898</v>
      </c>
      <c r="O250" s="1469"/>
      <c r="P250" s="1470">
        <v>11340</v>
      </c>
      <c r="Q250" s="1471">
        <v>0.5</v>
      </c>
      <c r="R250" s="1471">
        <v>0.5</v>
      </c>
      <c r="S250" s="1471">
        <v>2</v>
      </c>
      <c r="T250" s="1471">
        <v>22</v>
      </c>
      <c r="U250" s="1467">
        <v>7</v>
      </c>
      <c r="V250" s="1467"/>
      <c r="W250" s="1467"/>
      <c r="X250" s="1467"/>
    </row>
    <row r="251" spans="1:24" ht="18" customHeight="1">
      <c r="A251" s="1229"/>
      <c r="B251" s="1230"/>
      <c r="C251" s="1230"/>
      <c r="D251" s="1236"/>
      <c r="E251" s="1237"/>
      <c r="F251" s="1237"/>
      <c r="G251" s="1239"/>
      <c r="H251" s="1862"/>
      <c r="I251" s="1957"/>
      <c r="J251" s="845"/>
      <c r="K251" s="1354" t="s">
        <v>1683</v>
      </c>
      <c r="L251" s="1355" t="s">
        <v>464</v>
      </c>
      <c r="M251" s="666">
        <v>5549</v>
      </c>
      <c r="N251" s="1505"/>
      <c r="O251" s="1469"/>
      <c r="P251" s="1470">
        <v>138720</v>
      </c>
      <c r="Q251" s="1471">
        <v>4</v>
      </c>
      <c r="R251" s="1471">
        <v>10</v>
      </c>
      <c r="S251" s="1471"/>
      <c r="T251" s="1471"/>
      <c r="U251" s="1467"/>
      <c r="V251" s="1467"/>
      <c r="W251" s="1467"/>
      <c r="X251" s="1467"/>
    </row>
    <row r="252" spans="1:24" ht="18" customHeight="1">
      <c r="A252" s="1229"/>
      <c r="B252" s="1230"/>
      <c r="C252" s="1230"/>
      <c r="D252" s="1236"/>
      <c r="E252" s="1237"/>
      <c r="F252" s="1237"/>
      <c r="G252" s="1239"/>
      <c r="H252" s="1862"/>
      <c r="I252" s="1957"/>
      <c r="J252" s="845"/>
      <c r="K252" s="1400" t="s">
        <v>1684</v>
      </c>
      <c r="L252" s="1355" t="s">
        <v>464</v>
      </c>
      <c r="M252" s="666">
        <v>16646</v>
      </c>
      <c r="N252" s="1505"/>
      <c r="O252" s="1469"/>
      <c r="P252" s="1470">
        <v>138720</v>
      </c>
      <c r="Q252" s="1471">
        <v>4</v>
      </c>
      <c r="R252" s="1471">
        <v>30</v>
      </c>
      <c r="S252" s="1471"/>
      <c r="T252" s="1471"/>
      <c r="U252" s="1467"/>
      <c r="V252" s="1467"/>
      <c r="W252" s="1467"/>
      <c r="X252" s="1467"/>
    </row>
    <row r="253" spans="1:24" ht="18" customHeight="1">
      <c r="A253" s="1229"/>
      <c r="B253" s="1230"/>
      <c r="C253" s="1230"/>
      <c r="D253" s="1236"/>
      <c r="E253" s="1237"/>
      <c r="F253" s="1237"/>
      <c r="G253" s="1239"/>
      <c r="H253" s="1862"/>
      <c r="I253" s="1957"/>
      <c r="J253" s="845"/>
      <c r="K253" s="1400" t="s">
        <v>1685</v>
      </c>
      <c r="L253" s="1355" t="s">
        <v>464</v>
      </c>
      <c r="M253" s="666">
        <v>2400</v>
      </c>
      <c r="N253" s="1506"/>
      <c r="O253" s="1469"/>
      <c r="P253" s="1470">
        <v>50000</v>
      </c>
      <c r="Q253" s="1471">
        <v>4</v>
      </c>
      <c r="R253" s="1471">
        <v>12</v>
      </c>
      <c r="S253" s="1471"/>
      <c r="T253" s="1471"/>
      <c r="U253" s="1467"/>
      <c r="V253" s="1467"/>
      <c r="W253" s="1467"/>
      <c r="X253" s="1467"/>
    </row>
    <row r="254" spans="1:24" ht="18" customHeight="1">
      <c r="A254" s="1229"/>
      <c r="B254" s="1230"/>
      <c r="C254" s="1230"/>
      <c r="D254" s="1236"/>
      <c r="E254" s="1237"/>
      <c r="F254" s="1237"/>
      <c r="G254" s="1239"/>
      <c r="H254" s="1862"/>
      <c r="I254" s="1957"/>
      <c r="J254" s="845"/>
      <c r="K254" s="1400" t="s">
        <v>1686</v>
      </c>
      <c r="L254" s="1355" t="s">
        <v>464</v>
      </c>
      <c r="M254" s="666">
        <v>8400</v>
      </c>
      <c r="N254" s="1507" t="s">
        <v>1899</v>
      </c>
      <c r="O254" s="1469"/>
      <c r="P254" s="1470">
        <v>7000</v>
      </c>
      <c r="Q254" s="1471">
        <v>4</v>
      </c>
      <c r="R254" s="1471">
        <v>2</v>
      </c>
      <c r="S254" s="1471">
        <v>5</v>
      </c>
      <c r="T254" s="1471">
        <v>30</v>
      </c>
      <c r="U254" s="1467"/>
      <c r="V254" s="1467"/>
      <c r="W254" s="1467"/>
      <c r="X254" s="1467"/>
    </row>
    <row r="255" spans="1:24" ht="18" customHeight="1">
      <c r="A255" s="1229"/>
      <c r="B255" s="1230"/>
      <c r="C255" s="1230"/>
      <c r="D255" s="1236"/>
      <c r="E255" s="1237"/>
      <c r="F255" s="1237"/>
      <c r="G255" s="1239"/>
      <c r="H255" s="1862"/>
      <c r="I255" s="1957"/>
      <c r="J255" s="590"/>
      <c r="K255" s="1401" t="s">
        <v>1687</v>
      </c>
      <c r="L255" s="1355" t="s">
        <v>464</v>
      </c>
      <c r="M255" s="666">
        <v>4320</v>
      </c>
      <c r="N255" s="1495"/>
      <c r="O255" s="1469"/>
      <c r="P255" s="1470">
        <v>18000</v>
      </c>
      <c r="Q255" s="1471">
        <v>2</v>
      </c>
      <c r="R255" s="1471">
        <v>4</v>
      </c>
      <c r="S255" s="1471">
        <v>30</v>
      </c>
      <c r="T255" s="1471"/>
      <c r="U255" s="1467"/>
      <c r="V255" s="1467"/>
      <c r="W255" s="1467"/>
      <c r="X255" s="1467"/>
    </row>
    <row r="256" spans="1:24" ht="18" customHeight="1">
      <c r="A256" s="1229"/>
      <c r="B256" s="1230"/>
      <c r="C256" s="1230"/>
      <c r="D256" s="1236"/>
      <c r="E256" s="1237"/>
      <c r="F256" s="1237"/>
      <c r="G256" s="1239"/>
      <c r="H256" s="1862"/>
      <c r="I256" s="1957"/>
      <c r="J256" s="590"/>
      <c r="K256" s="1531" t="s">
        <v>1688</v>
      </c>
      <c r="L256" s="1355"/>
      <c r="M256" s="1824">
        <f>SUM(M257:M263)</f>
        <v>114232</v>
      </c>
      <c r="N256" s="1503" t="s">
        <v>1900</v>
      </c>
      <c r="O256" s="1469"/>
      <c r="P256" s="1470"/>
      <c r="Q256" s="1471"/>
      <c r="R256" s="1471"/>
      <c r="S256" s="1471"/>
      <c r="T256" s="1471"/>
      <c r="U256" s="1467"/>
      <c r="V256" s="1467"/>
      <c r="W256" s="1467"/>
      <c r="X256" s="1467"/>
    </row>
    <row r="257" spans="1:24" ht="18" customHeight="1">
      <c r="A257" s="1229"/>
      <c r="B257" s="1230"/>
      <c r="C257" s="1230"/>
      <c r="D257" s="1236"/>
      <c r="E257" s="1237"/>
      <c r="F257" s="1237"/>
      <c r="G257" s="1239"/>
      <c r="H257" s="1862"/>
      <c r="I257" s="1957"/>
      <c r="J257" s="590"/>
      <c r="K257" s="1356" t="s">
        <v>1679</v>
      </c>
      <c r="L257" s="1355" t="s">
        <v>464</v>
      </c>
      <c r="M257" s="666">
        <v>55884</v>
      </c>
      <c r="N257" s="1503"/>
      <c r="O257" s="1469"/>
      <c r="P257" s="1470">
        <v>11340</v>
      </c>
      <c r="Q257" s="1471">
        <v>8</v>
      </c>
      <c r="R257" s="1471">
        <v>4</v>
      </c>
      <c r="S257" s="1471">
        <v>22</v>
      </c>
      <c r="T257" s="1471">
        <v>7</v>
      </c>
      <c r="U257" s="1467"/>
      <c r="V257" s="1467"/>
      <c r="W257" s="1467"/>
      <c r="X257" s="1467"/>
    </row>
    <row r="258" spans="1:24" ht="18" customHeight="1">
      <c r="A258" s="1229"/>
      <c r="B258" s="1230"/>
      <c r="C258" s="1230"/>
      <c r="D258" s="1236"/>
      <c r="E258" s="1237"/>
      <c r="F258" s="1237"/>
      <c r="G258" s="1239"/>
      <c r="H258" s="1862"/>
      <c r="I258" s="1957"/>
      <c r="J258" s="590"/>
      <c r="K258" s="1356" t="s">
        <v>1689</v>
      </c>
      <c r="L258" s="1355" t="s">
        <v>464</v>
      </c>
      <c r="M258" s="666">
        <v>25872</v>
      </c>
      <c r="N258" s="1503"/>
      <c r="O258" s="1469"/>
      <c r="P258" s="1470">
        <v>7000</v>
      </c>
      <c r="Q258" s="1471">
        <v>6</v>
      </c>
      <c r="R258" s="1471">
        <v>4</v>
      </c>
      <c r="S258" s="1471">
        <v>22</v>
      </c>
      <c r="T258" s="1471">
        <v>7</v>
      </c>
      <c r="U258" s="1467"/>
      <c r="V258" s="1467"/>
      <c r="W258" s="1467"/>
      <c r="X258" s="1467"/>
    </row>
    <row r="259" spans="1:24" ht="18" customHeight="1">
      <c r="A259" s="1229"/>
      <c r="B259" s="1230"/>
      <c r="C259" s="1230"/>
      <c r="D259" s="1236"/>
      <c r="E259" s="1237"/>
      <c r="F259" s="1237"/>
      <c r="G259" s="1239"/>
      <c r="H259" s="1862"/>
      <c r="I259" s="1957"/>
      <c r="J259" s="590"/>
      <c r="K259" s="1356" t="s">
        <v>1690</v>
      </c>
      <c r="L259" s="1355" t="s">
        <v>464</v>
      </c>
      <c r="M259" s="666">
        <v>6048</v>
      </c>
      <c r="N259" s="1503"/>
      <c r="O259" s="1469"/>
      <c r="P259" s="1470">
        <v>18000</v>
      </c>
      <c r="Q259" s="1471">
        <v>8</v>
      </c>
      <c r="R259" s="1471">
        <v>1.5</v>
      </c>
      <c r="S259" s="1471">
        <v>4</v>
      </c>
      <c r="T259" s="1471">
        <v>7</v>
      </c>
      <c r="U259" s="1467"/>
      <c r="V259" s="1467"/>
      <c r="W259" s="1467"/>
      <c r="X259" s="1467"/>
    </row>
    <row r="260" spans="1:24" ht="18" customHeight="1">
      <c r="A260" s="1229"/>
      <c r="B260" s="1230"/>
      <c r="C260" s="1230"/>
      <c r="D260" s="1236"/>
      <c r="E260" s="1237"/>
      <c r="F260" s="1237"/>
      <c r="G260" s="1239"/>
      <c r="H260" s="1862"/>
      <c r="I260" s="1957"/>
      <c r="J260" s="590"/>
      <c r="K260" s="1356" t="s">
        <v>1682</v>
      </c>
      <c r="L260" s="1355" t="s">
        <v>464</v>
      </c>
      <c r="M260" s="666">
        <v>873</v>
      </c>
      <c r="N260" s="1503"/>
      <c r="O260" s="1469"/>
      <c r="P260" s="1470">
        <v>11340</v>
      </c>
      <c r="Q260" s="1471">
        <v>0.5</v>
      </c>
      <c r="R260" s="1471">
        <v>0.5</v>
      </c>
      <c r="S260" s="1471">
        <v>2</v>
      </c>
      <c r="T260" s="1471">
        <v>22</v>
      </c>
      <c r="U260" s="1467">
        <v>7</v>
      </c>
      <c r="V260" s="1467"/>
      <c r="W260" s="1467"/>
      <c r="X260" s="1467"/>
    </row>
    <row r="261" spans="1:24" ht="18" customHeight="1">
      <c r="A261" s="1229"/>
      <c r="B261" s="1230"/>
      <c r="C261" s="1230"/>
      <c r="D261" s="1236"/>
      <c r="E261" s="1237"/>
      <c r="F261" s="1237"/>
      <c r="G261" s="1239"/>
      <c r="H261" s="1862"/>
      <c r="I261" s="1957"/>
      <c r="J261" s="590"/>
      <c r="K261" s="1356" t="s">
        <v>1691</v>
      </c>
      <c r="L261" s="1355" t="s">
        <v>464</v>
      </c>
      <c r="M261" s="666">
        <v>5309</v>
      </c>
      <c r="N261" s="1503"/>
      <c r="O261" s="1469"/>
      <c r="P261" s="1470">
        <v>132720</v>
      </c>
      <c r="Q261" s="1471">
        <v>4</v>
      </c>
      <c r="R261" s="1471">
        <v>10</v>
      </c>
      <c r="S261" s="1471"/>
      <c r="T261" s="1471"/>
      <c r="U261" s="1467"/>
      <c r="V261" s="1467"/>
      <c r="W261" s="1467"/>
      <c r="X261" s="1467"/>
    </row>
    <row r="262" spans="1:24" ht="18" customHeight="1">
      <c r="A262" s="1229"/>
      <c r="B262" s="1230"/>
      <c r="C262" s="1230"/>
      <c r="D262" s="1236"/>
      <c r="E262" s="1237"/>
      <c r="F262" s="1237"/>
      <c r="G262" s="1239"/>
      <c r="H262" s="1862"/>
      <c r="I262" s="1957"/>
      <c r="J262" s="590"/>
      <c r="K262" s="1356" t="s">
        <v>1692</v>
      </c>
      <c r="L262" s="1355" t="s">
        <v>464</v>
      </c>
      <c r="M262" s="666">
        <v>15926</v>
      </c>
      <c r="N262" s="1503"/>
      <c r="O262" s="1469"/>
      <c r="P262" s="1470">
        <v>132720</v>
      </c>
      <c r="Q262" s="1471">
        <v>4</v>
      </c>
      <c r="R262" s="1471">
        <v>30</v>
      </c>
      <c r="S262" s="1471"/>
      <c r="T262" s="1471"/>
      <c r="U262" s="1467"/>
      <c r="V262" s="1467"/>
      <c r="W262" s="1467"/>
      <c r="X262" s="1467"/>
    </row>
    <row r="263" spans="1:24" ht="18" customHeight="1">
      <c r="A263" s="1229"/>
      <c r="B263" s="1230"/>
      <c r="C263" s="1230"/>
      <c r="D263" s="1236"/>
      <c r="E263" s="1237"/>
      <c r="F263" s="1237"/>
      <c r="G263" s="1239"/>
      <c r="H263" s="1862"/>
      <c r="I263" s="1957"/>
      <c r="J263" s="590"/>
      <c r="K263" s="1401" t="s">
        <v>1693</v>
      </c>
      <c r="L263" s="1355" t="s">
        <v>464</v>
      </c>
      <c r="M263" s="666">
        <v>4320</v>
      </c>
      <c r="N263" s="1495"/>
      <c r="O263" s="1469"/>
      <c r="P263" s="1470">
        <v>18000</v>
      </c>
      <c r="Q263" s="1471">
        <v>2</v>
      </c>
      <c r="R263" s="1471">
        <v>4</v>
      </c>
      <c r="S263" s="1471">
        <v>30</v>
      </c>
      <c r="T263" s="1471"/>
      <c r="U263" s="1467"/>
      <c r="V263" s="1467"/>
      <c r="W263" s="1467"/>
      <c r="X263" s="1467"/>
    </row>
    <row r="264" spans="1:24" ht="18" customHeight="1">
      <c r="A264" s="1229"/>
      <c r="B264" s="1230"/>
      <c r="C264" s="1230"/>
      <c r="D264" s="1236"/>
      <c r="E264" s="1237"/>
      <c r="F264" s="1237"/>
      <c r="G264" s="1239"/>
      <c r="H264" s="1862"/>
      <c r="I264" s="1957"/>
      <c r="J264" s="845"/>
      <c r="K264" s="1353" t="s">
        <v>1694</v>
      </c>
      <c r="L264" s="1355"/>
      <c r="M264" s="1824">
        <f>SUM(M265:M269)</f>
        <v>103309</v>
      </c>
      <c r="N264" s="1508" t="s">
        <v>1901</v>
      </c>
      <c r="O264" s="1469"/>
      <c r="P264" s="1470"/>
      <c r="Q264" s="1471"/>
      <c r="R264" s="1471"/>
      <c r="S264" s="1471"/>
      <c r="T264" s="1471"/>
      <c r="U264" s="1467"/>
      <c r="V264" s="1467"/>
      <c r="W264" s="1467"/>
      <c r="X264" s="1467"/>
    </row>
    <row r="265" spans="1:24" ht="18" customHeight="1">
      <c r="A265" s="1229"/>
      <c r="B265" s="1230"/>
      <c r="C265" s="1230"/>
      <c r="D265" s="1236"/>
      <c r="E265" s="1237"/>
      <c r="F265" s="1237"/>
      <c r="G265" s="1239"/>
      <c r="H265" s="1862"/>
      <c r="I265" s="1957"/>
      <c r="J265" s="845"/>
      <c r="K265" s="1354" t="s">
        <v>1695</v>
      </c>
      <c r="L265" s="1355" t="s">
        <v>464</v>
      </c>
      <c r="M265" s="666">
        <v>54432</v>
      </c>
      <c r="N265" s="1508"/>
      <c r="O265" s="1469"/>
      <c r="P265" s="1470">
        <v>11340</v>
      </c>
      <c r="Q265" s="1471">
        <v>4</v>
      </c>
      <c r="R265" s="1471">
        <v>8</v>
      </c>
      <c r="S265" s="1471">
        <v>5</v>
      </c>
      <c r="T265" s="1471">
        <v>30</v>
      </c>
      <c r="U265" s="1467"/>
      <c r="V265" s="1467"/>
      <c r="W265" s="1467"/>
      <c r="X265" s="1467"/>
    </row>
    <row r="266" spans="1:24" ht="18" customHeight="1">
      <c r="A266" s="1229"/>
      <c r="B266" s="1230"/>
      <c r="C266" s="1230"/>
      <c r="D266" s="1236"/>
      <c r="E266" s="1237"/>
      <c r="F266" s="1237"/>
      <c r="G266" s="1239"/>
      <c r="H266" s="1862"/>
      <c r="I266" s="1957"/>
      <c r="J266" s="845"/>
      <c r="K266" s="1354" t="s">
        <v>1696</v>
      </c>
      <c r="L266" s="1355" t="s">
        <v>464</v>
      </c>
      <c r="M266" s="666">
        <v>32660</v>
      </c>
      <c r="N266" s="1508"/>
      <c r="O266" s="1469"/>
      <c r="P266" s="1470">
        <v>11340</v>
      </c>
      <c r="Q266" s="1471">
        <v>4</v>
      </c>
      <c r="R266" s="1471">
        <v>16</v>
      </c>
      <c r="S266" s="1471">
        <v>1.5</v>
      </c>
      <c r="T266" s="1471">
        <v>30</v>
      </c>
      <c r="U266" s="1467"/>
      <c r="V266" s="1467"/>
      <c r="W266" s="1467"/>
      <c r="X266" s="1467"/>
    </row>
    <row r="267" spans="1:24" ht="18" customHeight="1">
      <c r="A267" s="1229"/>
      <c r="B267" s="1230"/>
      <c r="C267" s="1230"/>
      <c r="D267" s="1236"/>
      <c r="E267" s="1237"/>
      <c r="F267" s="1237"/>
      <c r="G267" s="1239"/>
      <c r="H267" s="1862"/>
      <c r="I267" s="1957"/>
      <c r="J267" s="845"/>
      <c r="K267" s="1354" t="s">
        <v>1697</v>
      </c>
      <c r="L267" s="1355" t="s">
        <v>464</v>
      </c>
      <c r="M267" s="666">
        <v>1701</v>
      </c>
      <c r="N267" s="1508"/>
      <c r="O267" s="1469"/>
      <c r="P267" s="1470">
        <v>11340</v>
      </c>
      <c r="Q267" s="1471">
        <v>5</v>
      </c>
      <c r="R267" s="1471">
        <v>0.5</v>
      </c>
      <c r="S267" s="1471">
        <v>0.5</v>
      </c>
      <c r="T267" s="1471">
        <v>4</v>
      </c>
      <c r="U267" s="1467">
        <v>30</v>
      </c>
      <c r="V267" s="1467"/>
      <c r="W267" s="1467"/>
      <c r="X267" s="1467"/>
    </row>
    <row r="268" spans="1:24" ht="18" customHeight="1">
      <c r="A268" s="1229"/>
      <c r="B268" s="1230"/>
      <c r="C268" s="1230"/>
      <c r="D268" s="1236"/>
      <c r="E268" s="1237"/>
      <c r="F268" s="1237"/>
      <c r="G268" s="1239"/>
      <c r="H268" s="1862"/>
      <c r="I268" s="1957"/>
      <c r="J268" s="845"/>
      <c r="K268" s="1354" t="s">
        <v>1698</v>
      </c>
      <c r="L268" s="1355" t="s">
        <v>464</v>
      </c>
      <c r="M268" s="666">
        <v>3629</v>
      </c>
      <c r="N268" s="1508"/>
      <c r="O268" s="1469"/>
      <c r="P268" s="1470">
        <v>11340</v>
      </c>
      <c r="Q268" s="1471">
        <v>4</v>
      </c>
      <c r="R268" s="1471">
        <v>8</v>
      </c>
      <c r="S268" s="1471">
        <v>10</v>
      </c>
      <c r="T268" s="1471"/>
      <c r="U268" s="1467"/>
      <c r="V268" s="1467"/>
      <c r="W268" s="1467"/>
      <c r="X268" s="1467"/>
    </row>
    <row r="269" spans="1:24" ht="18" customHeight="1">
      <c r="A269" s="1229"/>
      <c r="B269" s="1230"/>
      <c r="C269" s="1230"/>
      <c r="D269" s="1236"/>
      <c r="E269" s="1237"/>
      <c r="F269" s="1237"/>
      <c r="G269" s="1239"/>
      <c r="H269" s="1862"/>
      <c r="I269" s="1957"/>
      <c r="J269" s="845"/>
      <c r="K269" s="1354" t="s">
        <v>1699</v>
      </c>
      <c r="L269" s="1355" t="s">
        <v>464</v>
      </c>
      <c r="M269" s="666">
        <v>10887</v>
      </c>
      <c r="N269" s="1508"/>
      <c r="O269" s="1469"/>
      <c r="P269" s="1470">
        <v>11340</v>
      </c>
      <c r="Q269" s="1471">
        <v>4</v>
      </c>
      <c r="R269" s="1471">
        <v>8</v>
      </c>
      <c r="S269" s="1471">
        <v>30</v>
      </c>
      <c r="T269" s="1471"/>
      <c r="U269" s="1467"/>
      <c r="V269" s="1467"/>
      <c r="W269" s="1467"/>
      <c r="X269" s="1467"/>
    </row>
    <row r="270" spans="1:24" ht="18" customHeight="1">
      <c r="A270" s="1229"/>
      <c r="B270" s="1230"/>
      <c r="C270" s="1230"/>
      <c r="D270" s="1236"/>
      <c r="E270" s="1237"/>
      <c r="F270" s="1237"/>
      <c r="G270" s="1239"/>
      <c r="H270" s="1862"/>
      <c r="I270" s="1957"/>
      <c r="J270" s="845"/>
      <c r="K270" s="1354" t="s">
        <v>1700</v>
      </c>
      <c r="L270" s="1355" t="s">
        <v>464</v>
      </c>
      <c r="M270" s="1824">
        <v>5444</v>
      </c>
      <c r="N270" s="1508"/>
      <c r="O270" s="1469"/>
      <c r="P270" s="1470">
        <v>11340</v>
      </c>
      <c r="Q270" s="1471">
        <v>1</v>
      </c>
      <c r="R270" s="1471">
        <v>8</v>
      </c>
      <c r="S270" s="1471">
        <v>2</v>
      </c>
      <c r="T270" s="1471">
        <v>30</v>
      </c>
      <c r="U270" s="1467"/>
      <c r="V270" s="1467"/>
      <c r="W270" s="1467"/>
      <c r="X270" s="1467"/>
    </row>
    <row r="271" spans="1:24" ht="18" customHeight="1">
      <c r="A271" s="1229"/>
      <c r="B271" s="1230"/>
      <c r="C271" s="1230"/>
      <c r="D271" s="1236"/>
      <c r="E271" s="1237"/>
      <c r="F271" s="1237"/>
      <c r="G271" s="1239"/>
      <c r="H271" s="1862"/>
      <c r="I271" s="1957"/>
      <c r="J271" s="845"/>
      <c r="K271" s="1353" t="s">
        <v>1701</v>
      </c>
      <c r="L271" s="1355"/>
      <c r="M271" s="1824">
        <f>SUM(M272:M273)</f>
        <v>24600</v>
      </c>
      <c r="N271" s="1503" t="s">
        <v>1902</v>
      </c>
      <c r="O271" s="1469"/>
      <c r="P271" s="1470"/>
      <c r="Q271" s="1471"/>
      <c r="R271" s="1471"/>
      <c r="S271" s="1471"/>
      <c r="T271" s="1471"/>
      <c r="U271" s="1467"/>
      <c r="V271" s="1467"/>
      <c r="W271" s="1467"/>
      <c r="X271" s="1467"/>
    </row>
    <row r="272" spans="1:24" ht="18" customHeight="1">
      <c r="A272" s="1229"/>
      <c r="B272" s="1230"/>
      <c r="C272" s="1230"/>
      <c r="D272" s="1236"/>
      <c r="E272" s="1237"/>
      <c r="F272" s="1237"/>
      <c r="G272" s="1239"/>
      <c r="H272" s="1862"/>
      <c r="I272" s="1957"/>
      <c r="J272" s="845"/>
      <c r="K272" s="1354" t="s">
        <v>1702</v>
      </c>
      <c r="L272" s="1355" t="s">
        <v>464</v>
      </c>
      <c r="M272" s="666">
        <v>12600</v>
      </c>
      <c r="N272" s="1503"/>
      <c r="O272" s="1469"/>
      <c r="P272" s="1470">
        <v>1050000</v>
      </c>
      <c r="Q272" s="1471">
        <v>1</v>
      </c>
      <c r="R272" s="1471">
        <v>12</v>
      </c>
      <c r="S272" s="1471"/>
      <c r="T272" s="1471"/>
      <c r="U272" s="1467"/>
      <c r="V272" s="1467"/>
      <c r="W272" s="1467"/>
      <c r="X272" s="1467"/>
    </row>
    <row r="273" spans="1:24" ht="18" customHeight="1">
      <c r="A273" s="1229"/>
      <c r="B273" s="1230"/>
      <c r="C273" s="1230"/>
      <c r="D273" s="1236"/>
      <c r="E273" s="1237"/>
      <c r="F273" s="1237"/>
      <c r="G273" s="1239"/>
      <c r="H273" s="683"/>
      <c r="I273" s="1954"/>
      <c r="J273" s="590"/>
      <c r="K273" s="1399" t="s">
        <v>1703</v>
      </c>
      <c r="L273" s="1355" t="s">
        <v>464</v>
      </c>
      <c r="M273" s="666">
        <v>12000</v>
      </c>
      <c r="N273" s="1503"/>
      <c r="O273" s="1469"/>
      <c r="P273" s="1470">
        <v>1000000</v>
      </c>
      <c r="Q273" s="1471">
        <v>1</v>
      </c>
      <c r="R273" s="1471">
        <v>12</v>
      </c>
      <c r="S273" s="1471"/>
      <c r="T273" s="1471"/>
      <c r="U273" s="1467"/>
      <c r="V273" s="1467"/>
      <c r="W273" s="1467"/>
      <c r="X273" s="1467"/>
    </row>
    <row r="274" spans="1:24" ht="18" customHeight="1">
      <c r="A274" s="340"/>
      <c r="B274" s="344"/>
      <c r="C274" s="347"/>
      <c r="D274" s="347"/>
      <c r="E274" s="342" t="s">
        <v>987</v>
      </c>
      <c r="F274" s="342"/>
      <c r="G274" s="343"/>
      <c r="H274" s="1866">
        <f>H275</f>
        <v>358847</v>
      </c>
      <c r="I274" s="1857">
        <v>0</v>
      </c>
      <c r="J274" s="1185">
        <f>H274-I274</f>
        <v>358847</v>
      </c>
      <c r="K274" s="427"/>
      <c r="L274" s="428"/>
      <c r="M274" s="668"/>
      <c r="N274" s="2141"/>
      <c r="O274" s="609"/>
      <c r="P274" s="610"/>
      <c r="Q274" s="1426"/>
      <c r="R274" s="1426"/>
      <c r="S274" s="1426"/>
      <c r="T274" s="1429"/>
      <c r="U274" s="387"/>
      <c r="V274" s="389"/>
      <c r="W274" s="389"/>
      <c r="X274" s="389"/>
    </row>
    <row r="275" spans="1:24" ht="18" customHeight="1">
      <c r="A275" s="1240"/>
      <c r="B275" s="1241"/>
      <c r="C275" s="1241"/>
      <c r="D275" s="1230"/>
      <c r="E275" s="1242"/>
      <c r="F275" s="1234" t="s">
        <v>402</v>
      </c>
      <c r="G275" s="1243"/>
      <c r="H275" s="683">
        <f>H276+H289+H291+H307+H310+H313</f>
        <v>358847</v>
      </c>
      <c r="I275" s="1952">
        <v>0</v>
      </c>
      <c r="J275" s="597">
        <f t="shared" ref="J275:J276" si="8">H275-I275</f>
        <v>358847</v>
      </c>
      <c r="K275" s="1529"/>
      <c r="L275" s="1357"/>
      <c r="M275" s="668"/>
      <c r="N275" s="2154"/>
      <c r="O275" s="1472"/>
      <c r="P275" s="1472"/>
      <c r="Q275" s="1472"/>
      <c r="R275" s="1472"/>
      <c r="S275" s="1472"/>
      <c r="T275" s="1472"/>
      <c r="U275" s="1472"/>
      <c r="V275" s="1472"/>
      <c r="W275" s="1472"/>
      <c r="X275" s="1472"/>
    </row>
    <row r="276" spans="1:24" ht="18" customHeight="1">
      <c r="A276" s="1240"/>
      <c r="B276" s="1241"/>
      <c r="C276" s="1241"/>
      <c r="D276" s="1241"/>
      <c r="E276" s="1241"/>
      <c r="F276" s="1241"/>
      <c r="G276" s="1230" t="s">
        <v>403</v>
      </c>
      <c r="H276" s="1876">
        <f>M276</f>
        <v>16346</v>
      </c>
      <c r="I276" s="1956">
        <v>0</v>
      </c>
      <c r="J276" s="594">
        <f t="shared" si="8"/>
        <v>16346</v>
      </c>
      <c r="K276" s="1358" t="s">
        <v>1597</v>
      </c>
      <c r="L276" s="1359"/>
      <c r="M276" s="1824">
        <f>M277+M278+M279+M280+M281+M282+M283+M284+M285+M286+M287+M288</f>
        <v>16346</v>
      </c>
      <c r="N276" s="2154"/>
      <c r="O276" s="1472"/>
      <c r="P276" s="1472"/>
      <c r="Q276" s="1472"/>
      <c r="R276" s="1472"/>
      <c r="S276" s="1472"/>
      <c r="T276" s="1472"/>
      <c r="U276" s="1472"/>
      <c r="V276" s="1472"/>
      <c r="W276" s="1472"/>
      <c r="X276" s="1472"/>
    </row>
    <row r="277" spans="1:24" ht="18" customHeight="1">
      <c r="A277" s="1240"/>
      <c r="B277" s="1241"/>
      <c r="C277" s="1241"/>
      <c r="D277" s="1244"/>
      <c r="E277" s="1244"/>
      <c r="F277" s="1244"/>
      <c r="G277" s="1236"/>
      <c r="H277" s="1862"/>
      <c r="I277" s="1957"/>
      <c r="J277" s="845"/>
      <c r="K277" s="1360" t="s">
        <v>1704</v>
      </c>
      <c r="L277" s="1355" t="s">
        <v>464</v>
      </c>
      <c r="M277" s="666">
        <v>286</v>
      </c>
      <c r="N277" s="1509" t="s">
        <v>1822</v>
      </c>
      <c r="O277" s="1472"/>
      <c r="P277" s="1473">
        <v>26000</v>
      </c>
      <c r="Q277" s="1474">
        <v>11</v>
      </c>
      <c r="R277" s="1474"/>
      <c r="S277" s="1474"/>
      <c r="T277" s="1472"/>
      <c r="U277" s="1472"/>
      <c r="V277" s="1472"/>
      <c r="W277" s="1472"/>
      <c r="X277" s="1472"/>
    </row>
    <row r="278" spans="1:24" ht="18" customHeight="1">
      <c r="A278" s="1240"/>
      <c r="B278" s="1241"/>
      <c r="C278" s="1241"/>
      <c r="D278" s="1244"/>
      <c r="E278" s="1244"/>
      <c r="F278" s="1244"/>
      <c r="G278" s="1244"/>
      <c r="H278" s="1862"/>
      <c r="I278" s="1957"/>
      <c r="J278" s="845"/>
      <c r="K278" s="1360" t="s">
        <v>1600</v>
      </c>
      <c r="L278" s="1040" t="s">
        <v>242</v>
      </c>
      <c r="M278" s="666">
        <v>800</v>
      </c>
      <c r="N278" s="1509"/>
      <c r="O278" s="1472"/>
      <c r="P278" s="1473">
        <v>400</v>
      </c>
      <c r="Q278" s="1474">
        <v>2000</v>
      </c>
      <c r="R278" s="1474"/>
      <c r="S278" s="1474"/>
      <c r="T278" s="1472"/>
      <c r="U278" s="1472"/>
      <c r="V278" s="1472"/>
      <c r="W278" s="1472"/>
      <c r="X278" s="1472"/>
    </row>
    <row r="279" spans="1:24" ht="18" customHeight="1">
      <c r="A279" s="1240"/>
      <c r="B279" s="1241"/>
      <c r="C279" s="1241"/>
      <c r="D279" s="1244"/>
      <c r="E279" s="1244"/>
      <c r="F279" s="1244"/>
      <c r="G279" s="1244"/>
      <c r="H279" s="1862"/>
      <c r="I279" s="1957"/>
      <c r="J279" s="845"/>
      <c r="K279" s="1360" t="s">
        <v>1705</v>
      </c>
      <c r="L279" s="1040" t="s">
        <v>242</v>
      </c>
      <c r="M279" s="666">
        <v>480</v>
      </c>
      <c r="N279" s="1509" t="s">
        <v>1823</v>
      </c>
      <c r="O279" s="1472"/>
      <c r="P279" s="1473">
        <v>80000</v>
      </c>
      <c r="Q279" s="1474">
        <v>6</v>
      </c>
      <c r="R279" s="1474">
        <v>1</v>
      </c>
      <c r="S279" s="1474"/>
      <c r="T279" s="1472"/>
      <c r="U279" s="1472"/>
      <c r="V279" s="1472"/>
      <c r="W279" s="1472"/>
      <c r="X279" s="1472"/>
    </row>
    <row r="280" spans="1:24" ht="18" customHeight="1">
      <c r="A280" s="1240"/>
      <c r="B280" s="1241"/>
      <c r="C280" s="1241"/>
      <c r="D280" s="1244"/>
      <c r="E280" s="1244"/>
      <c r="F280" s="1244"/>
      <c r="G280" s="1244"/>
      <c r="H280" s="1862"/>
      <c r="I280" s="1957"/>
      <c r="J280" s="845"/>
      <c r="K280" s="1360" t="s">
        <v>1706</v>
      </c>
      <c r="L280" s="1040" t="s">
        <v>242</v>
      </c>
      <c r="M280" s="666">
        <v>1000</v>
      </c>
      <c r="N280" s="1509" t="s">
        <v>1825</v>
      </c>
      <c r="O280" s="1472"/>
      <c r="P280" s="1473">
        <v>250000</v>
      </c>
      <c r="Q280" s="1474">
        <v>4</v>
      </c>
      <c r="R280" s="1474"/>
      <c r="S280" s="1474"/>
      <c r="T280" s="1472"/>
      <c r="U280" s="1472"/>
      <c r="V280" s="1472"/>
      <c r="W280" s="1472"/>
      <c r="X280" s="1472"/>
    </row>
    <row r="281" spans="1:24" ht="18" customHeight="1">
      <c r="A281" s="1240"/>
      <c r="B281" s="1241"/>
      <c r="C281" s="1241"/>
      <c r="D281" s="1244"/>
      <c r="E281" s="1244"/>
      <c r="F281" s="1244"/>
      <c r="G281" s="1244"/>
      <c r="H281" s="1862"/>
      <c r="I281" s="1957"/>
      <c r="J281" s="845"/>
      <c r="K281" s="1360" t="s">
        <v>1707</v>
      </c>
      <c r="L281" s="1040" t="s">
        <v>242</v>
      </c>
      <c r="M281" s="666">
        <v>1296</v>
      </c>
      <c r="N281" s="1509" t="s">
        <v>1903</v>
      </c>
      <c r="O281" s="1472"/>
      <c r="P281" s="1473">
        <v>1200</v>
      </c>
      <c r="Q281" s="1474">
        <v>90</v>
      </c>
      <c r="R281" s="1474">
        <v>12</v>
      </c>
      <c r="S281" s="1474">
        <v>1</v>
      </c>
      <c r="T281" s="1472"/>
      <c r="U281" s="1472"/>
      <c r="V281" s="1472"/>
      <c r="W281" s="1472"/>
      <c r="X281" s="1472"/>
    </row>
    <row r="282" spans="1:24" ht="18" customHeight="1">
      <c r="A282" s="1240"/>
      <c r="B282" s="1241"/>
      <c r="C282" s="1241"/>
      <c r="D282" s="1244"/>
      <c r="E282" s="1244"/>
      <c r="F282" s="1244"/>
      <c r="G282" s="1244"/>
      <c r="H282" s="1862"/>
      <c r="I282" s="1957"/>
      <c r="J282" s="845"/>
      <c r="K282" s="1322" t="s">
        <v>1603</v>
      </c>
      <c r="L282" s="1040" t="s">
        <v>1431</v>
      </c>
      <c r="M282" s="666">
        <v>3000</v>
      </c>
      <c r="N282" s="1509" t="s">
        <v>1904</v>
      </c>
      <c r="O282" s="1472"/>
      <c r="P282" s="1473">
        <v>1000000</v>
      </c>
      <c r="Q282" s="1474">
        <v>3</v>
      </c>
      <c r="R282" s="1474"/>
      <c r="S282" s="1474"/>
      <c r="T282" s="1472"/>
      <c r="U282" s="1472"/>
      <c r="V282" s="1472"/>
      <c r="W282" s="1472"/>
      <c r="X282" s="1472"/>
    </row>
    <row r="283" spans="1:24" ht="18" customHeight="1">
      <c r="A283" s="1240"/>
      <c r="B283" s="1241"/>
      <c r="C283" s="1241"/>
      <c r="D283" s="1244"/>
      <c r="E283" s="1244"/>
      <c r="F283" s="1244"/>
      <c r="G283" s="1244"/>
      <c r="H283" s="1862"/>
      <c r="I283" s="1957"/>
      <c r="J283" s="845"/>
      <c r="K283" s="1360" t="s">
        <v>1604</v>
      </c>
      <c r="L283" s="1040" t="s">
        <v>1431</v>
      </c>
      <c r="M283" s="666">
        <v>1584</v>
      </c>
      <c r="N283" s="1509" t="s">
        <v>1905</v>
      </c>
      <c r="O283" s="1472"/>
      <c r="P283" s="1473">
        <v>66000</v>
      </c>
      <c r="Q283" s="1474">
        <v>4</v>
      </c>
      <c r="R283" s="1474">
        <v>6</v>
      </c>
      <c r="S283" s="1474"/>
      <c r="T283" s="1472"/>
      <c r="U283" s="1472"/>
      <c r="V283" s="1472"/>
      <c r="W283" s="1472"/>
      <c r="X283" s="1472"/>
    </row>
    <row r="284" spans="1:24" ht="18" customHeight="1">
      <c r="A284" s="1240"/>
      <c r="B284" s="1241"/>
      <c r="C284" s="1241"/>
      <c r="D284" s="1244"/>
      <c r="E284" s="1244"/>
      <c r="F284" s="1244"/>
      <c r="G284" s="1244"/>
      <c r="H284" s="1862"/>
      <c r="I284" s="1957"/>
      <c r="J284" s="845"/>
      <c r="K284" s="1322" t="s">
        <v>1708</v>
      </c>
      <c r="L284" s="1040" t="s">
        <v>242</v>
      </c>
      <c r="M284" s="666">
        <v>4200</v>
      </c>
      <c r="N284" s="1509" t="s">
        <v>1906</v>
      </c>
      <c r="O284" s="1472"/>
      <c r="P284" s="1473">
        <v>600000</v>
      </c>
      <c r="Q284" s="1474">
        <v>7</v>
      </c>
      <c r="R284" s="1474"/>
      <c r="S284" s="1472"/>
      <c r="T284" s="1472"/>
      <c r="U284" s="1472"/>
      <c r="V284" s="1472"/>
      <c r="W284" s="1472"/>
      <c r="X284" s="1472"/>
    </row>
    <row r="285" spans="1:24" ht="18" customHeight="1">
      <c r="A285" s="1240"/>
      <c r="B285" s="1241"/>
      <c r="C285" s="1241"/>
      <c r="D285" s="1244"/>
      <c r="E285" s="1244"/>
      <c r="F285" s="1244"/>
      <c r="G285" s="1244"/>
      <c r="H285" s="1862"/>
      <c r="I285" s="1957"/>
      <c r="J285" s="845"/>
      <c r="K285" s="1360" t="s">
        <v>1709</v>
      </c>
      <c r="L285" s="1040" t="s">
        <v>1185</v>
      </c>
      <c r="M285" s="666">
        <v>1200</v>
      </c>
      <c r="N285" s="1509" t="s">
        <v>1907</v>
      </c>
      <c r="O285" s="1472"/>
      <c r="P285" s="1473">
        <v>100000</v>
      </c>
      <c r="Q285" s="1474">
        <v>2</v>
      </c>
      <c r="R285" s="1474">
        <v>6</v>
      </c>
      <c r="S285" s="1474"/>
      <c r="T285" s="1472"/>
      <c r="U285" s="1472"/>
      <c r="V285" s="1472"/>
      <c r="W285" s="1472"/>
      <c r="X285" s="1472"/>
    </row>
    <row r="286" spans="1:24" ht="18" customHeight="1">
      <c r="A286" s="1240"/>
      <c r="B286" s="1241"/>
      <c r="C286" s="1241"/>
      <c r="D286" s="1244"/>
      <c r="E286" s="1244"/>
      <c r="F286" s="1244"/>
      <c r="G286" s="1244"/>
      <c r="H286" s="1862"/>
      <c r="I286" s="1957"/>
      <c r="J286" s="845"/>
      <c r="K286" s="1360" t="s">
        <v>1710</v>
      </c>
      <c r="L286" s="1040" t="s">
        <v>1185</v>
      </c>
      <c r="M286" s="666">
        <v>500</v>
      </c>
      <c r="N286" s="1509" t="s">
        <v>1908</v>
      </c>
      <c r="O286" s="1472"/>
      <c r="P286" s="1473">
        <v>250000</v>
      </c>
      <c r="Q286" s="1474">
        <v>2</v>
      </c>
      <c r="R286" s="1474"/>
      <c r="S286" s="1474"/>
      <c r="T286" s="1472"/>
      <c r="U286" s="1472"/>
      <c r="V286" s="1472"/>
      <c r="W286" s="1472"/>
      <c r="X286" s="1472"/>
    </row>
    <row r="287" spans="1:24" ht="18" customHeight="1">
      <c r="A287" s="1240"/>
      <c r="B287" s="1241"/>
      <c r="C287" s="1241"/>
      <c r="D287" s="1244"/>
      <c r="E287" s="1244"/>
      <c r="F287" s="1244"/>
      <c r="G287" s="1244"/>
      <c r="H287" s="1862"/>
      <c r="I287" s="1957"/>
      <c r="J287" s="845"/>
      <c r="K287" s="1360" t="s">
        <v>1711</v>
      </c>
      <c r="L287" s="1040" t="s">
        <v>1185</v>
      </c>
      <c r="M287" s="666">
        <v>600</v>
      </c>
      <c r="N287" s="1509" t="s">
        <v>1909</v>
      </c>
      <c r="O287" s="1472"/>
      <c r="P287" s="1473">
        <v>200000</v>
      </c>
      <c r="Q287" s="1474">
        <v>3</v>
      </c>
      <c r="R287" s="1474"/>
      <c r="S287" s="1474"/>
      <c r="T287" s="1472"/>
      <c r="U287" s="1472"/>
      <c r="V287" s="1472"/>
      <c r="W287" s="1472"/>
      <c r="X287" s="1472"/>
    </row>
    <row r="288" spans="1:24" ht="18" customHeight="1">
      <c r="A288" s="1240"/>
      <c r="B288" s="1241"/>
      <c r="C288" s="1241"/>
      <c r="D288" s="1244"/>
      <c r="E288" s="1244"/>
      <c r="F288" s="1244"/>
      <c r="G288" s="1245"/>
      <c r="H288" s="1862"/>
      <c r="I288" s="1958"/>
      <c r="J288" s="845"/>
      <c r="K288" s="1361" t="s">
        <v>1712</v>
      </c>
      <c r="L288" s="1040" t="s">
        <v>1185</v>
      </c>
      <c r="M288" s="666">
        <v>1400</v>
      </c>
      <c r="N288" s="1509" t="s">
        <v>1834</v>
      </c>
      <c r="O288" s="1472"/>
      <c r="P288" s="1473">
        <v>200000</v>
      </c>
      <c r="Q288" s="1474">
        <v>7</v>
      </c>
      <c r="R288" s="1474"/>
      <c r="S288" s="1474"/>
      <c r="T288" s="1472"/>
      <c r="U288" s="1472"/>
      <c r="V288" s="1472"/>
      <c r="W288" s="1472"/>
      <c r="X288" s="1472"/>
    </row>
    <row r="289" spans="1:24" ht="18" customHeight="1">
      <c r="A289" s="1240"/>
      <c r="B289" s="1241"/>
      <c r="C289" s="1241"/>
      <c r="D289" s="1244"/>
      <c r="E289" s="1244"/>
      <c r="F289" s="1244"/>
      <c r="G289" s="1241" t="s">
        <v>1004</v>
      </c>
      <c r="H289" s="1876">
        <f>M289</f>
        <v>600</v>
      </c>
      <c r="I289" s="1957">
        <v>0</v>
      </c>
      <c r="J289" s="594">
        <f>H289-I289</f>
        <v>600</v>
      </c>
      <c r="K289" s="1402" t="s">
        <v>1004</v>
      </c>
      <c r="L289" s="1403"/>
      <c r="M289" s="1827">
        <f>M290</f>
        <v>600</v>
      </c>
      <c r="N289" s="1509"/>
      <c r="O289" s="1472"/>
      <c r="P289" s="1473"/>
      <c r="Q289" s="1474"/>
      <c r="R289" s="1474"/>
      <c r="S289" s="1474"/>
      <c r="T289" s="1472"/>
      <c r="U289" s="1472"/>
      <c r="V289" s="1472"/>
      <c r="W289" s="1472"/>
      <c r="X289" s="1472"/>
    </row>
    <row r="290" spans="1:24" ht="18" customHeight="1">
      <c r="A290" s="1240"/>
      <c r="B290" s="1241"/>
      <c r="C290" s="1241"/>
      <c r="D290" s="1244"/>
      <c r="E290" s="1244"/>
      <c r="F290" s="1244"/>
      <c r="G290" s="1244"/>
      <c r="H290" s="1864"/>
      <c r="I290" s="1957"/>
      <c r="J290" s="845"/>
      <c r="K290" s="1360" t="s">
        <v>1713</v>
      </c>
      <c r="L290" s="1040" t="s">
        <v>242</v>
      </c>
      <c r="M290" s="1078">
        <v>600</v>
      </c>
      <c r="N290" s="1510" t="s">
        <v>1910</v>
      </c>
      <c r="O290" s="1472"/>
      <c r="P290" s="1473">
        <v>200000</v>
      </c>
      <c r="Q290" s="1474">
        <v>3</v>
      </c>
      <c r="R290" s="1474"/>
      <c r="S290" s="1474"/>
      <c r="T290" s="1472"/>
      <c r="U290" s="1472"/>
      <c r="V290" s="1472"/>
      <c r="W290" s="1472"/>
      <c r="X290" s="1472"/>
    </row>
    <row r="291" spans="1:24" ht="18" customHeight="1">
      <c r="A291" s="1240"/>
      <c r="B291" s="1241"/>
      <c r="C291" s="1241"/>
      <c r="D291" s="1241"/>
      <c r="E291" s="1241"/>
      <c r="F291" s="1241"/>
      <c r="G291" s="1246" t="s">
        <v>406</v>
      </c>
      <c r="H291" s="1876">
        <f>M291</f>
        <v>90910</v>
      </c>
      <c r="I291" s="1953">
        <v>0</v>
      </c>
      <c r="J291" s="1528">
        <f>H291-I291</f>
        <v>90910</v>
      </c>
      <c r="K291" s="1358" t="s">
        <v>406</v>
      </c>
      <c r="L291" s="1359"/>
      <c r="M291" s="1824">
        <f>M292+M293+M294+M295+M296+M297+M298+M299+M300+M301+M302+M303+M304+M305+M306</f>
        <v>90910</v>
      </c>
      <c r="N291" s="2155"/>
      <c r="O291" s="1472"/>
      <c r="P291" s="1473"/>
      <c r="Q291" s="1474"/>
      <c r="R291" s="1474"/>
      <c r="S291" s="1474"/>
      <c r="T291" s="1472"/>
      <c r="U291" s="1472"/>
      <c r="V291" s="1472"/>
      <c r="W291" s="1472"/>
      <c r="X291" s="1472"/>
    </row>
    <row r="292" spans="1:24" ht="18" customHeight="1">
      <c r="A292" s="1240"/>
      <c r="B292" s="1241"/>
      <c r="C292" s="1241"/>
      <c r="D292" s="1244"/>
      <c r="E292" s="1244"/>
      <c r="F292" s="1244"/>
      <c r="G292" s="1236"/>
      <c r="H292" s="683"/>
      <c r="I292" s="1954"/>
      <c r="J292" s="845"/>
      <c r="K292" s="1360" t="s">
        <v>1612</v>
      </c>
      <c r="L292" s="1042" t="s">
        <v>464</v>
      </c>
      <c r="M292" s="666">
        <v>130</v>
      </c>
      <c r="N292" s="1510" t="s">
        <v>1836</v>
      </c>
      <c r="O292" s="1472"/>
      <c r="P292" s="1473">
        <v>130000</v>
      </c>
      <c r="Q292" s="1474">
        <v>1</v>
      </c>
      <c r="R292" s="1474"/>
      <c r="S292" s="1474"/>
      <c r="T292" s="1472"/>
      <c r="U292" s="1472"/>
      <c r="V292" s="1472"/>
      <c r="W292" s="1472"/>
      <c r="X292" s="1472"/>
    </row>
    <row r="293" spans="1:24" ht="18" customHeight="1">
      <c r="A293" s="1240"/>
      <c r="B293" s="1241"/>
      <c r="C293" s="1241"/>
      <c r="D293" s="1244"/>
      <c r="E293" s="1244"/>
      <c r="F293" s="1244"/>
      <c r="G293" s="1236"/>
      <c r="H293" s="683"/>
      <c r="I293" s="1954"/>
      <c r="J293" s="845"/>
      <c r="K293" s="1360" t="s">
        <v>1613</v>
      </c>
      <c r="L293" s="1363" t="s">
        <v>464</v>
      </c>
      <c r="M293" s="666">
        <v>210</v>
      </c>
      <c r="N293" s="1510" t="s">
        <v>1837</v>
      </c>
      <c r="O293" s="1472"/>
      <c r="P293" s="1473">
        <v>210000</v>
      </c>
      <c r="Q293" s="1473">
        <v>1</v>
      </c>
      <c r="R293" s="1473"/>
      <c r="S293" s="1472"/>
      <c r="T293" s="1472"/>
      <c r="U293" s="1472"/>
      <c r="V293" s="1472"/>
      <c r="W293" s="1472"/>
      <c r="X293" s="1472"/>
    </row>
    <row r="294" spans="1:24" ht="18" customHeight="1">
      <c r="A294" s="1240"/>
      <c r="B294" s="1241"/>
      <c r="C294" s="1241"/>
      <c r="D294" s="1244"/>
      <c r="E294" s="1244"/>
      <c r="F294" s="1244"/>
      <c r="G294" s="1236"/>
      <c r="H294" s="683"/>
      <c r="I294" s="1954"/>
      <c r="J294" s="845"/>
      <c r="K294" s="1360" t="s">
        <v>1614</v>
      </c>
      <c r="L294" s="1042" t="s">
        <v>464</v>
      </c>
      <c r="M294" s="666">
        <v>200</v>
      </c>
      <c r="N294" s="1511" t="s">
        <v>1838</v>
      </c>
      <c r="O294" s="1472"/>
      <c r="P294" s="1473">
        <v>50000</v>
      </c>
      <c r="Q294" s="1473">
        <v>4</v>
      </c>
      <c r="R294" s="1473"/>
      <c r="S294" s="1472"/>
      <c r="T294" s="1472"/>
      <c r="U294" s="1472"/>
      <c r="V294" s="1472"/>
      <c r="W294" s="1472"/>
      <c r="X294" s="1472"/>
    </row>
    <row r="295" spans="1:24" ht="18" customHeight="1">
      <c r="A295" s="1240"/>
      <c r="B295" s="1241"/>
      <c r="C295" s="1241"/>
      <c r="D295" s="1244"/>
      <c r="E295" s="1244"/>
      <c r="F295" s="1244"/>
      <c r="G295" s="1236"/>
      <c r="H295" s="683"/>
      <c r="I295" s="1954"/>
      <c r="J295" s="845"/>
      <c r="K295" s="1360" t="s">
        <v>1714</v>
      </c>
      <c r="L295" s="1042" t="s">
        <v>464</v>
      </c>
      <c r="M295" s="666">
        <v>1860</v>
      </c>
      <c r="N295" s="1510" t="s">
        <v>1839</v>
      </c>
      <c r="O295" s="1472"/>
      <c r="P295" s="1473">
        <v>930000</v>
      </c>
      <c r="Q295" s="1473">
        <v>2</v>
      </c>
      <c r="R295" s="1473"/>
      <c r="S295" s="1472"/>
      <c r="T295" s="1472"/>
      <c r="U295" s="1472"/>
      <c r="V295" s="1472"/>
      <c r="W295" s="1472"/>
      <c r="X295" s="1472"/>
    </row>
    <row r="296" spans="1:24" ht="18" customHeight="1">
      <c r="A296" s="1240"/>
      <c r="B296" s="1241"/>
      <c r="C296" s="1241"/>
      <c r="D296" s="1244"/>
      <c r="E296" s="1244"/>
      <c r="F296" s="1244"/>
      <c r="G296" s="1236"/>
      <c r="H296" s="683"/>
      <c r="I296" s="1954"/>
      <c r="J296" s="845"/>
      <c r="K296" s="1360" t="s">
        <v>1715</v>
      </c>
      <c r="L296" s="1042" t="s">
        <v>464</v>
      </c>
      <c r="M296" s="666">
        <v>1800</v>
      </c>
      <c r="N296" s="1508" t="s">
        <v>1840</v>
      </c>
      <c r="O296" s="1472"/>
      <c r="P296" s="1473">
        <v>900000</v>
      </c>
      <c r="Q296" s="1473">
        <v>2</v>
      </c>
      <c r="R296" s="1473"/>
      <c r="S296" s="1472"/>
      <c r="T296" s="1472"/>
      <c r="U296" s="1472"/>
      <c r="V296" s="1472"/>
      <c r="W296" s="1472"/>
      <c r="X296" s="1472"/>
    </row>
    <row r="297" spans="1:24" ht="18" customHeight="1">
      <c r="A297" s="1240"/>
      <c r="B297" s="1241"/>
      <c r="C297" s="1241"/>
      <c r="D297" s="1244"/>
      <c r="E297" s="1244"/>
      <c r="F297" s="1244"/>
      <c r="G297" s="1236"/>
      <c r="H297" s="683"/>
      <c r="I297" s="1954"/>
      <c r="J297" s="845"/>
      <c r="K297" s="1360" t="s">
        <v>1716</v>
      </c>
      <c r="L297" s="1042" t="s">
        <v>464</v>
      </c>
      <c r="M297" s="666">
        <v>2250</v>
      </c>
      <c r="N297" s="1511" t="s">
        <v>1841</v>
      </c>
      <c r="O297" s="1472"/>
      <c r="P297" s="1473">
        <v>450000</v>
      </c>
      <c r="Q297" s="1473">
        <v>5</v>
      </c>
      <c r="R297" s="1473"/>
      <c r="S297" s="1472"/>
      <c r="T297" s="1472"/>
      <c r="U297" s="1472"/>
      <c r="V297" s="1472"/>
      <c r="W297" s="1472"/>
      <c r="X297" s="1472"/>
    </row>
    <row r="298" spans="1:24" ht="18" customHeight="1">
      <c r="A298" s="1240"/>
      <c r="B298" s="1241"/>
      <c r="C298" s="1241"/>
      <c r="D298" s="1244"/>
      <c r="E298" s="1247"/>
      <c r="F298" s="1247"/>
      <c r="G298" s="1237"/>
      <c r="H298" s="683"/>
      <c r="I298" s="1954"/>
      <c r="J298" s="845"/>
      <c r="K298" s="1360" t="s">
        <v>1717</v>
      </c>
      <c r="L298" s="1042" t="s">
        <v>464</v>
      </c>
      <c r="M298" s="666">
        <v>30000</v>
      </c>
      <c r="N298" s="1510" t="s">
        <v>1911</v>
      </c>
      <c r="O298" s="1475"/>
      <c r="P298" s="1473">
        <v>2500000</v>
      </c>
      <c r="Q298" s="1473">
        <v>12</v>
      </c>
      <c r="R298" s="1473"/>
      <c r="S298" s="1475"/>
      <c r="T298" s="1475"/>
      <c r="U298" s="1475"/>
      <c r="V298" s="1475"/>
      <c r="W298" s="1475"/>
      <c r="X298" s="1475"/>
    </row>
    <row r="299" spans="1:24" ht="18" customHeight="1">
      <c r="A299" s="1248"/>
      <c r="B299" s="1249"/>
      <c r="C299" s="1249"/>
      <c r="D299" s="1250"/>
      <c r="E299" s="1251"/>
      <c r="F299" s="1251"/>
      <c r="G299" s="1222"/>
      <c r="H299" s="683"/>
      <c r="I299" s="1954"/>
      <c r="J299" s="845"/>
      <c r="K299" s="1360" t="s">
        <v>1718</v>
      </c>
      <c r="L299" s="1042" t="s">
        <v>464</v>
      </c>
      <c r="M299" s="666">
        <v>21600</v>
      </c>
      <c r="N299" s="1510" t="s">
        <v>1912</v>
      </c>
      <c r="O299" s="1476"/>
      <c r="P299" s="1473">
        <v>1800000</v>
      </c>
      <c r="Q299" s="1473">
        <v>12</v>
      </c>
      <c r="R299" s="1473"/>
      <c r="S299" s="1476"/>
      <c r="T299" s="1476"/>
      <c r="U299" s="1476"/>
      <c r="V299" s="1476"/>
      <c r="W299" s="1476"/>
      <c r="X299" s="1476"/>
    </row>
    <row r="300" spans="1:24" ht="18" customHeight="1">
      <c r="A300" s="1240"/>
      <c r="B300" s="1241"/>
      <c r="C300" s="1241"/>
      <c r="D300" s="1244"/>
      <c r="E300" s="1247"/>
      <c r="F300" s="1247"/>
      <c r="G300" s="1237"/>
      <c r="H300" s="683"/>
      <c r="I300" s="1954"/>
      <c r="J300" s="845"/>
      <c r="K300" s="1360" t="s">
        <v>1719</v>
      </c>
      <c r="L300" s="1042" t="s">
        <v>464</v>
      </c>
      <c r="M300" s="666">
        <v>1920</v>
      </c>
      <c r="N300" s="1510" t="s">
        <v>1843</v>
      </c>
      <c r="O300" s="1472"/>
      <c r="P300" s="1473">
        <v>160000</v>
      </c>
      <c r="Q300" s="1473">
        <v>12</v>
      </c>
      <c r="R300" s="1473"/>
      <c r="S300" s="1472"/>
      <c r="T300" s="1472"/>
      <c r="U300" s="1472"/>
      <c r="V300" s="1472"/>
      <c r="W300" s="1472"/>
      <c r="X300" s="1472"/>
    </row>
    <row r="301" spans="1:24" ht="18" customHeight="1">
      <c r="A301" s="1240"/>
      <c r="B301" s="1241"/>
      <c r="C301" s="1241"/>
      <c r="D301" s="1244"/>
      <c r="E301" s="1247"/>
      <c r="F301" s="1247"/>
      <c r="G301" s="1237"/>
      <c r="H301" s="683"/>
      <c r="I301" s="1954"/>
      <c r="J301" s="845"/>
      <c r="K301" s="1360" t="s">
        <v>1720</v>
      </c>
      <c r="L301" s="1042" t="s">
        <v>464</v>
      </c>
      <c r="M301" s="666">
        <v>2000</v>
      </c>
      <c r="N301" s="1510" t="s">
        <v>1845</v>
      </c>
      <c r="O301" s="1472"/>
      <c r="P301" s="1473">
        <v>2000000</v>
      </c>
      <c r="Q301" s="1473">
        <v>1</v>
      </c>
      <c r="R301" s="1473"/>
      <c r="S301" s="1472"/>
      <c r="T301" s="1472"/>
      <c r="U301" s="1472"/>
      <c r="V301" s="1472"/>
      <c r="W301" s="1472"/>
      <c r="X301" s="1472"/>
    </row>
    <row r="302" spans="1:24" ht="18" customHeight="1">
      <c r="A302" s="1240"/>
      <c r="B302" s="1241"/>
      <c r="C302" s="1241"/>
      <c r="D302" s="1244"/>
      <c r="E302" s="1247"/>
      <c r="F302" s="1247"/>
      <c r="G302" s="1237"/>
      <c r="H302" s="683"/>
      <c r="I302" s="1954"/>
      <c r="J302" s="845"/>
      <c r="K302" s="1360" t="s">
        <v>1721</v>
      </c>
      <c r="L302" s="1042" t="s">
        <v>464</v>
      </c>
      <c r="M302" s="666">
        <v>11700</v>
      </c>
      <c r="N302" s="1510" t="s">
        <v>1846</v>
      </c>
      <c r="O302" s="1472"/>
      <c r="P302" s="1473">
        <v>900000</v>
      </c>
      <c r="Q302" s="1473">
        <v>13</v>
      </c>
      <c r="R302" s="1473"/>
      <c r="S302" s="1472"/>
      <c r="T302" s="1472"/>
      <c r="U302" s="1472"/>
      <c r="V302" s="1472"/>
      <c r="W302" s="1472"/>
      <c r="X302" s="1472"/>
    </row>
    <row r="303" spans="1:24" ht="18" customHeight="1">
      <c r="A303" s="1248"/>
      <c r="B303" s="1249"/>
      <c r="C303" s="1249"/>
      <c r="D303" s="1250"/>
      <c r="E303" s="1251"/>
      <c r="F303" s="1251"/>
      <c r="G303" s="1222"/>
      <c r="H303" s="683"/>
      <c r="I303" s="1954"/>
      <c r="J303" s="845"/>
      <c r="K303" s="1360" t="s">
        <v>1722</v>
      </c>
      <c r="L303" s="1042" t="s">
        <v>464</v>
      </c>
      <c r="M303" s="666">
        <v>3240</v>
      </c>
      <c r="N303" s="1510" t="s">
        <v>1913</v>
      </c>
      <c r="O303" s="1476"/>
      <c r="P303" s="1473">
        <v>270000</v>
      </c>
      <c r="Q303" s="1473">
        <v>12</v>
      </c>
      <c r="R303" s="1473"/>
      <c r="S303" s="1476"/>
      <c r="T303" s="1476"/>
      <c r="U303" s="1476"/>
      <c r="V303" s="1476"/>
      <c r="W303" s="1476"/>
      <c r="X303" s="1476"/>
    </row>
    <row r="304" spans="1:24" ht="18" customHeight="1">
      <c r="A304" s="1248"/>
      <c r="B304" s="1249"/>
      <c r="C304" s="1249"/>
      <c r="D304" s="1250"/>
      <c r="E304" s="1251"/>
      <c r="F304" s="1251"/>
      <c r="G304" s="1222"/>
      <c r="H304" s="683"/>
      <c r="I304" s="1954"/>
      <c r="J304" s="845"/>
      <c r="K304" s="1360" t="s">
        <v>1723</v>
      </c>
      <c r="L304" s="1042" t="s">
        <v>464</v>
      </c>
      <c r="M304" s="666">
        <v>3000</v>
      </c>
      <c r="N304" s="1508" t="s">
        <v>1914</v>
      </c>
      <c r="O304" s="1476"/>
      <c r="P304" s="1473">
        <v>250000</v>
      </c>
      <c r="Q304" s="1473">
        <v>12</v>
      </c>
      <c r="R304" s="1473"/>
      <c r="S304" s="1476"/>
      <c r="T304" s="1476"/>
      <c r="U304" s="1476"/>
      <c r="V304" s="1476"/>
      <c r="W304" s="1476"/>
      <c r="X304" s="1476"/>
    </row>
    <row r="305" spans="1:24" ht="18" customHeight="1">
      <c r="A305" s="1248"/>
      <c r="B305" s="1249"/>
      <c r="C305" s="1249"/>
      <c r="D305" s="1250"/>
      <c r="E305" s="1251"/>
      <c r="F305" s="1251"/>
      <c r="G305" s="1222"/>
      <c r="H305" s="683"/>
      <c r="I305" s="1954"/>
      <c r="J305" s="845"/>
      <c r="K305" s="1360" t="s">
        <v>1724</v>
      </c>
      <c r="L305" s="1042" t="s">
        <v>464</v>
      </c>
      <c r="M305" s="666">
        <v>4000</v>
      </c>
      <c r="N305" s="1508" t="s">
        <v>1915</v>
      </c>
      <c r="O305" s="1476"/>
      <c r="P305" s="1473">
        <v>1000000</v>
      </c>
      <c r="Q305" s="1473">
        <v>4</v>
      </c>
      <c r="R305" s="1473"/>
      <c r="S305" s="1476"/>
      <c r="T305" s="1476"/>
      <c r="U305" s="1476"/>
      <c r="V305" s="1476"/>
      <c r="W305" s="1476"/>
      <c r="X305" s="1476"/>
    </row>
    <row r="306" spans="1:24" ht="18" customHeight="1">
      <c r="A306" s="1240"/>
      <c r="B306" s="1241"/>
      <c r="C306" s="1241"/>
      <c r="D306" s="1244"/>
      <c r="E306" s="1247"/>
      <c r="F306" s="1247"/>
      <c r="G306" s="1237"/>
      <c r="H306" s="1871"/>
      <c r="I306" s="1969"/>
      <c r="J306" s="1527"/>
      <c r="K306" s="1360" t="s">
        <v>1725</v>
      </c>
      <c r="L306" s="1042" t="s">
        <v>464</v>
      </c>
      <c r="M306" s="1078">
        <v>7000</v>
      </c>
      <c r="N306" s="1508" t="s">
        <v>1916</v>
      </c>
      <c r="O306" s="1472"/>
      <c r="P306" s="1473">
        <v>3500000</v>
      </c>
      <c r="Q306" s="1473">
        <v>2</v>
      </c>
      <c r="R306" s="1473"/>
      <c r="S306" s="1472"/>
      <c r="T306" s="1472"/>
      <c r="U306" s="1472"/>
      <c r="V306" s="1472"/>
      <c r="W306" s="1472"/>
      <c r="X306" s="1472"/>
    </row>
    <row r="307" spans="1:24" ht="18" customHeight="1">
      <c r="A307" s="1240"/>
      <c r="B307" s="1241"/>
      <c r="C307" s="1241"/>
      <c r="D307" s="1241"/>
      <c r="E307" s="1241"/>
      <c r="F307" s="1241"/>
      <c r="G307" s="1246" t="s">
        <v>408</v>
      </c>
      <c r="H307" s="683">
        <f>M307</f>
        <v>7632</v>
      </c>
      <c r="I307" s="1954">
        <v>0</v>
      </c>
      <c r="J307" s="594">
        <f>H307-I307</f>
        <v>7632</v>
      </c>
      <c r="K307" s="1358" t="s">
        <v>408</v>
      </c>
      <c r="L307" s="1359"/>
      <c r="M307" s="1824">
        <f>M308+M309</f>
        <v>7632</v>
      </c>
      <c r="N307" s="2146"/>
      <c r="O307" s="1472"/>
      <c r="P307" s="1473"/>
      <c r="Q307" s="1473"/>
      <c r="R307" s="1473"/>
      <c r="S307" s="1472"/>
      <c r="T307" s="1472"/>
      <c r="U307" s="1472"/>
      <c r="V307" s="1472"/>
      <c r="W307" s="1472"/>
      <c r="X307" s="1472"/>
    </row>
    <row r="308" spans="1:24" ht="18" customHeight="1">
      <c r="A308" s="1240"/>
      <c r="B308" s="1241"/>
      <c r="C308" s="1241"/>
      <c r="D308" s="1244"/>
      <c r="E308" s="1244"/>
      <c r="F308" s="1247"/>
      <c r="G308" s="1244"/>
      <c r="H308" s="683"/>
      <c r="I308" s="1954"/>
      <c r="J308" s="590"/>
      <c r="K308" s="1399" t="s">
        <v>1726</v>
      </c>
      <c r="L308" s="1363" t="s">
        <v>464</v>
      </c>
      <c r="M308" s="666">
        <v>4872</v>
      </c>
      <c r="N308" s="1509" t="s">
        <v>1853</v>
      </c>
      <c r="O308" s="1475"/>
      <c r="P308" s="1473">
        <v>406000</v>
      </c>
      <c r="Q308" s="1473">
        <v>12</v>
      </c>
      <c r="R308" s="1473"/>
      <c r="S308" s="1475"/>
      <c r="T308" s="1475"/>
      <c r="U308" s="1475"/>
      <c r="V308" s="1475"/>
      <c r="W308" s="1475"/>
      <c r="X308" s="1475"/>
    </row>
    <row r="309" spans="1:24" ht="18" customHeight="1">
      <c r="A309" s="1240"/>
      <c r="B309" s="1241"/>
      <c r="C309" s="1241"/>
      <c r="D309" s="1241"/>
      <c r="E309" s="1241"/>
      <c r="F309" s="1241"/>
      <c r="G309" s="1230"/>
      <c r="H309" s="1871"/>
      <c r="I309" s="1969"/>
      <c r="J309" s="595"/>
      <c r="K309" s="1399" t="s">
        <v>1727</v>
      </c>
      <c r="L309" s="1042" t="s">
        <v>464</v>
      </c>
      <c r="M309" s="1078">
        <v>2760</v>
      </c>
      <c r="N309" s="1508" t="s">
        <v>1854</v>
      </c>
      <c r="O309" s="1472"/>
      <c r="P309" s="1473">
        <v>230000</v>
      </c>
      <c r="Q309" s="1473">
        <v>12</v>
      </c>
      <c r="R309" s="1473"/>
      <c r="S309" s="1472"/>
      <c r="T309" s="1472"/>
      <c r="U309" s="1472"/>
      <c r="V309" s="1472"/>
      <c r="W309" s="1472"/>
      <c r="X309" s="1472"/>
    </row>
    <row r="310" spans="1:24" ht="18" customHeight="1">
      <c r="A310" s="1240"/>
      <c r="B310" s="1241"/>
      <c r="C310" s="1241"/>
      <c r="D310" s="1241"/>
      <c r="E310" s="1241"/>
      <c r="F310" s="1241"/>
      <c r="G310" s="1246" t="s">
        <v>410</v>
      </c>
      <c r="H310" s="683">
        <f>M310</f>
        <v>2700</v>
      </c>
      <c r="I310" s="1954">
        <v>0</v>
      </c>
      <c r="J310" s="590">
        <f>H310-I310</f>
        <v>2700</v>
      </c>
      <c r="K310" s="1328" t="s">
        <v>410</v>
      </c>
      <c r="L310" s="1329"/>
      <c r="M310" s="1824">
        <f>M311+M312</f>
        <v>2700</v>
      </c>
      <c r="N310" s="2155"/>
      <c r="O310" s="1472"/>
      <c r="P310" s="1473"/>
      <c r="Q310" s="1473"/>
      <c r="R310" s="1473"/>
      <c r="S310" s="1472"/>
      <c r="T310" s="1472"/>
      <c r="U310" s="1472"/>
      <c r="V310" s="1472"/>
      <c r="W310" s="1472"/>
      <c r="X310" s="1472"/>
    </row>
    <row r="311" spans="1:24" ht="18" customHeight="1">
      <c r="A311" s="1240"/>
      <c r="B311" s="1241"/>
      <c r="C311" s="1241"/>
      <c r="D311" s="1241"/>
      <c r="E311" s="1241"/>
      <c r="F311" s="1241"/>
      <c r="G311" s="1230"/>
      <c r="H311" s="683"/>
      <c r="I311" s="1954"/>
      <c r="J311" s="590"/>
      <c r="K311" s="1362" t="s">
        <v>1728</v>
      </c>
      <c r="L311" s="1042" t="s">
        <v>242</v>
      </c>
      <c r="M311" s="666">
        <v>300</v>
      </c>
      <c r="N311" s="1510" t="s">
        <v>1855</v>
      </c>
      <c r="O311" s="1472"/>
      <c r="P311" s="1473">
        <v>150000</v>
      </c>
      <c r="Q311" s="1473">
        <v>2</v>
      </c>
      <c r="R311" s="1473"/>
      <c r="S311" s="1472"/>
      <c r="T311" s="1472"/>
      <c r="U311" s="1472"/>
      <c r="V311" s="1472"/>
      <c r="W311" s="1472"/>
      <c r="X311" s="1472"/>
    </row>
    <row r="312" spans="1:24" ht="18" customHeight="1">
      <c r="A312" s="1240"/>
      <c r="B312" s="1241"/>
      <c r="C312" s="1241"/>
      <c r="D312" s="1241"/>
      <c r="E312" s="1241"/>
      <c r="F312" s="1252"/>
      <c r="G312" s="1239"/>
      <c r="H312" s="1871"/>
      <c r="I312" s="1969"/>
      <c r="J312" s="595"/>
      <c r="K312" s="1356" t="s">
        <v>1729</v>
      </c>
      <c r="L312" s="1040" t="s">
        <v>242</v>
      </c>
      <c r="M312" s="1078">
        <v>2400</v>
      </c>
      <c r="N312" s="1510" t="s">
        <v>1917</v>
      </c>
      <c r="O312" s="1472"/>
      <c r="P312" s="1473">
        <v>4000</v>
      </c>
      <c r="Q312" s="1473">
        <v>4</v>
      </c>
      <c r="R312" s="1473">
        <v>5</v>
      </c>
      <c r="S312" s="1477">
        <v>30</v>
      </c>
      <c r="T312" s="1472"/>
      <c r="U312" s="1472"/>
      <c r="V312" s="1472"/>
      <c r="W312" s="1472"/>
      <c r="X312" s="1472"/>
    </row>
    <row r="313" spans="1:24" ht="18" customHeight="1">
      <c r="A313" s="1240"/>
      <c r="B313" s="1241"/>
      <c r="C313" s="1241"/>
      <c r="D313" s="1241"/>
      <c r="E313" s="1241"/>
      <c r="F313" s="1241"/>
      <c r="G313" s="1246" t="s">
        <v>1222</v>
      </c>
      <c r="H313" s="683">
        <f>M313</f>
        <v>240659</v>
      </c>
      <c r="I313" s="1954">
        <v>0</v>
      </c>
      <c r="J313" s="590">
        <f>H313-I313</f>
        <v>240659</v>
      </c>
      <c r="K313" s="1328" t="s">
        <v>1222</v>
      </c>
      <c r="L313" s="1329"/>
      <c r="M313" s="1824">
        <f>M314+M315+M316+M317+M318+M319+M320+M321+M322</f>
        <v>240659</v>
      </c>
      <c r="N313" s="2146"/>
      <c r="O313" s="1472"/>
      <c r="P313" s="1473"/>
      <c r="Q313" s="1473"/>
      <c r="R313" s="1473"/>
      <c r="S313" s="1472"/>
      <c r="T313" s="1472"/>
      <c r="U313" s="1472"/>
      <c r="V313" s="1472"/>
      <c r="W313" s="1472"/>
      <c r="X313" s="1472"/>
    </row>
    <row r="314" spans="1:24" ht="18" customHeight="1">
      <c r="A314" s="1240"/>
      <c r="B314" s="1241"/>
      <c r="C314" s="1241"/>
      <c r="D314" s="1241"/>
      <c r="E314" s="1241"/>
      <c r="F314" s="1252"/>
      <c r="G314" s="1239"/>
      <c r="H314" s="683"/>
      <c r="I314" s="1954"/>
      <c r="J314" s="590"/>
      <c r="K314" s="1399" t="s">
        <v>1631</v>
      </c>
      <c r="L314" s="1042" t="s">
        <v>464</v>
      </c>
      <c r="M314" s="666">
        <v>20</v>
      </c>
      <c r="N314" s="1510" t="s">
        <v>1803</v>
      </c>
      <c r="O314" s="1472"/>
      <c r="P314" s="1473">
        <v>20000</v>
      </c>
      <c r="Q314" s="1473">
        <v>1</v>
      </c>
      <c r="R314" s="1473"/>
      <c r="S314" s="1472"/>
      <c r="T314" s="1472"/>
      <c r="U314" s="1472"/>
      <c r="V314" s="1472"/>
      <c r="W314" s="1472"/>
      <c r="X314" s="1472"/>
    </row>
    <row r="315" spans="1:24" ht="18" customHeight="1">
      <c r="A315" s="1240"/>
      <c r="B315" s="1241"/>
      <c r="C315" s="1241"/>
      <c r="D315" s="1241"/>
      <c r="E315" s="1241"/>
      <c r="F315" s="1252"/>
      <c r="G315" s="1239"/>
      <c r="H315" s="683"/>
      <c r="I315" s="1954"/>
      <c r="J315" s="590"/>
      <c r="K315" s="1399" t="s">
        <v>1632</v>
      </c>
      <c r="L315" s="1042" t="s">
        <v>464</v>
      </c>
      <c r="M315" s="666">
        <v>35</v>
      </c>
      <c r="N315" s="1510" t="s">
        <v>1803</v>
      </c>
      <c r="O315" s="1478"/>
      <c r="P315" s="1473">
        <v>35000</v>
      </c>
      <c r="Q315" s="1473">
        <v>1</v>
      </c>
      <c r="R315" s="1473"/>
      <c r="S315" s="1472"/>
      <c r="T315" s="1472"/>
      <c r="U315" s="1472"/>
      <c r="V315" s="1472"/>
      <c r="W315" s="1472"/>
      <c r="X315" s="1472"/>
    </row>
    <row r="316" spans="1:24" ht="18" customHeight="1">
      <c r="A316" s="1240"/>
      <c r="B316" s="1241"/>
      <c r="C316" s="1241"/>
      <c r="D316" s="1241"/>
      <c r="E316" s="1241"/>
      <c r="F316" s="1252"/>
      <c r="G316" s="1239"/>
      <c r="H316" s="683"/>
      <c r="I316" s="1954"/>
      <c r="J316" s="590"/>
      <c r="K316" s="1399" t="s">
        <v>1730</v>
      </c>
      <c r="L316" s="1042" t="s">
        <v>464</v>
      </c>
      <c r="M316" s="666">
        <v>649</v>
      </c>
      <c r="N316" s="1508" t="s">
        <v>1802</v>
      </c>
      <c r="O316" s="1472"/>
      <c r="P316" s="1473">
        <v>260</v>
      </c>
      <c r="Q316" s="1473">
        <v>2496</v>
      </c>
      <c r="R316" s="1473">
        <v>1</v>
      </c>
      <c r="S316" s="1472"/>
      <c r="T316" s="1472"/>
      <c r="U316" s="1472"/>
      <c r="V316" s="1472"/>
      <c r="W316" s="1472"/>
      <c r="X316" s="1472"/>
    </row>
    <row r="317" spans="1:24" ht="18" customHeight="1">
      <c r="A317" s="1240"/>
      <c r="B317" s="1241"/>
      <c r="C317" s="1241"/>
      <c r="D317" s="1241"/>
      <c r="E317" s="1241"/>
      <c r="F317" s="1252"/>
      <c r="G317" s="1239"/>
      <c r="H317" s="683"/>
      <c r="I317" s="1954"/>
      <c r="J317" s="590"/>
      <c r="K317" s="1399" t="s">
        <v>1731</v>
      </c>
      <c r="L317" s="1042" t="s">
        <v>464</v>
      </c>
      <c r="M317" s="666">
        <v>385</v>
      </c>
      <c r="N317" s="1510" t="s">
        <v>1918</v>
      </c>
      <c r="O317" s="1472"/>
      <c r="P317" s="1473">
        <v>55000</v>
      </c>
      <c r="Q317" s="1473">
        <v>7</v>
      </c>
      <c r="R317" s="1473"/>
      <c r="S317" s="1472"/>
      <c r="T317" s="1472"/>
      <c r="U317" s="1472"/>
      <c r="V317" s="1472"/>
      <c r="W317" s="1472"/>
      <c r="X317" s="1472"/>
    </row>
    <row r="318" spans="1:24" ht="18" customHeight="1">
      <c r="A318" s="1240"/>
      <c r="B318" s="1241"/>
      <c r="C318" s="1241"/>
      <c r="D318" s="1241"/>
      <c r="E318" s="1241"/>
      <c r="F318" s="1252"/>
      <c r="G318" s="1239"/>
      <c r="H318" s="683"/>
      <c r="I318" s="1954"/>
      <c r="J318" s="845"/>
      <c r="K318" s="1360" t="s">
        <v>1732</v>
      </c>
      <c r="L318" s="1042" t="s">
        <v>464</v>
      </c>
      <c r="M318" s="666">
        <v>98000</v>
      </c>
      <c r="N318" s="1508" t="s">
        <v>1919</v>
      </c>
      <c r="O318" s="1472"/>
      <c r="P318" s="1473">
        <v>14000000</v>
      </c>
      <c r="Q318" s="1473">
        <v>7</v>
      </c>
      <c r="R318" s="1473"/>
      <c r="S318" s="1472"/>
      <c r="T318" s="1472"/>
      <c r="U318" s="1472"/>
      <c r="V318" s="1472"/>
      <c r="W318" s="1472"/>
      <c r="X318" s="1472"/>
    </row>
    <row r="319" spans="1:24" ht="18" customHeight="1">
      <c r="A319" s="1240"/>
      <c r="B319" s="1241"/>
      <c r="C319" s="1241"/>
      <c r="D319" s="1241"/>
      <c r="E319" s="1241"/>
      <c r="F319" s="1252"/>
      <c r="G319" s="1239"/>
      <c r="H319" s="683"/>
      <c r="I319" s="1954"/>
      <c r="J319" s="845"/>
      <c r="K319" s="1360" t="s">
        <v>1733</v>
      </c>
      <c r="L319" s="1042" t="s">
        <v>464</v>
      </c>
      <c r="M319" s="666">
        <v>91000</v>
      </c>
      <c r="N319" s="1508" t="s">
        <v>1920</v>
      </c>
      <c r="O319" s="1472"/>
      <c r="P319" s="1473">
        <v>13000000</v>
      </c>
      <c r="Q319" s="1473">
        <v>7</v>
      </c>
      <c r="R319" s="1473"/>
      <c r="S319" s="1472"/>
      <c r="T319" s="1472"/>
      <c r="U319" s="1472"/>
      <c r="V319" s="1472"/>
      <c r="W319" s="1472"/>
      <c r="X319" s="1472"/>
    </row>
    <row r="320" spans="1:24" ht="18" customHeight="1">
      <c r="A320" s="1240"/>
      <c r="B320" s="1241"/>
      <c r="C320" s="1241"/>
      <c r="D320" s="1241"/>
      <c r="E320" s="1241"/>
      <c r="F320" s="1252"/>
      <c r="G320" s="1239"/>
      <c r="H320" s="683"/>
      <c r="I320" s="1954"/>
      <c r="J320" s="845"/>
      <c r="K320" s="1360" t="s">
        <v>1734</v>
      </c>
      <c r="L320" s="1042" t="s">
        <v>464</v>
      </c>
      <c r="M320" s="666">
        <v>45500</v>
      </c>
      <c r="N320" s="1508" t="s">
        <v>1921</v>
      </c>
      <c r="O320" s="1472"/>
      <c r="P320" s="1473">
        <v>6500000</v>
      </c>
      <c r="Q320" s="1473">
        <v>7</v>
      </c>
      <c r="R320" s="1473"/>
      <c r="S320" s="1472"/>
      <c r="T320" s="1472"/>
      <c r="U320" s="1472"/>
      <c r="V320" s="1472"/>
      <c r="W320" s="1472"/>
      <c r="X320" s="1472"/>
    </row>
    <row r="321" spans="1:24" ht="18" customHeight="1">
      <c r="A321" s="1240"/>
      <c r="B321" s="1241"/>
      <c r="C321" s="1241"/>
      <c r="D321" s="1241"/>
      <c r="E321" s="1241"/>
      <c r="F321" s="1252"/>
      <c r="G321" s="1239"/>
      <c r="H321" s="683"/>
      <c r="I321" s="1954"/>
      <c r="J321" s="845"/>
      <c r="K321" s="1360" t="s">
        <v>1735</v>
      </c>
      <c r="L321" s="1042" t="s">
        <v>464</v>
      </c>
      <c r="M321" s="666">
        <v>3630</v>
      </c>
      <c r="N321" s="1510" t="s">
        <v>1922</v>
      </c>
      <c r="O321" s="1472"/>
      <c r="P321" s="1473">
        <v>330000</v>
      </c>
      <c r="Q321" s="1473">
        <v>11</v>
      </c>
      <c r="R321" s="1473"/>
      <c r="S321" s="1472"/>
      <c r="T321" s="1472"/>
      <c r="U321" s="1472"/>
      <c r="V321" s="1472"/>
      <c r="W321" s="1472"/>
      <c r="X321" s="1472"/>
    </row>
    <row r="322" spans="1:24" ht="18" customHeight="1">
      <c r="A322" s="1240"/>
      <c r="B322" s="1241"/>
      <c r="C322" s="1241"/>
      <c r="D322" s="1241"/>
      <c r="E322" s="1241"/>
      <c r="F322" s="1252"/>
      <c r="G322" s="1254"/>
      <c r="H322" s="683"/>
      <c r="I322" s="1954"/>
      <c r="J322" s="590"/>
      <c r="K322" s="1521" t="s">
        <v>1736</v>
      </c>
      <c r="L322" s="1177" t="s">
        <v>464</v>
      </c>
      <c r="M322" s="666">
        <v>1440</v>
      </c>
      <c r="N322" s="1510" t="s">
        <v>1807</v>
      </c>
      <c r="O322" s="1472"/>
      <c r="P322" s="1473">
        <v>120000</v>
      </c>
      <c r="Q322" s="1473">
        <v>12</v>
      </c>
      <c r="R322" s="1473"/>
      <c r="S322" s="1472"/>
      <c r="T322" s="1472"/>
      <c r="U322" s="1472"/>
      <c r="V322" s="1472"/>
      <c r="W322" s="1472"/>
      <c r="X322" s="1472"/>
    </row>
    <row r="323" spans="1:24" ht="18" customHeight="1">
      <c r="A323" s="340"/>
      <c r="B323" s="344"/>
      <c r="C323" s="344"/>
      <c r="D323" s="341" t="s">
        <v>1506</v>
      </c>
      <c r="E323" s="342"/>
      <c r="F323" s="342"/>
      <c r="G323" s="343"/>
      <c r="H323" s="1856">
        <f>H324</f>
        <v>12200</v>
      </c>
      <c r="I323" s="1858">
        <v>0</v>
      </c>
      <c r="J323" s="601">
        <f>H323-I323</f>
        <v>12200</v>
      </c>
      <c r="K323" s="425"/>
      <c r="L323" s="777"/>
      <c r="M323" s="668"/>
      <c r="N323" s="2141"/>
      <c r="O323" s="609"/>
      <c r="P323" s="1473"/>
      <c r="Q323" s="1473"/>
      <c r="R323" s="1473"/>
      <c r="S323" s="1426"/>
      <c r="T323" s="1427"/>
      <c r="U323" s="387"/>
      <c r="V323" s="389"/>
      <c r="W323" s="389"/>
      <c r="X323" s="389"/>
    </row>
    <row r="324" spans="1:24" ht="18" customHeight="1">
      <c r="A324" s="340"/>
      <c r="B324" s="344"/>
      <c r="C324" s="347"/>
      <c r="D324" s="348"/>
      <c r="E324" s="341" t="s">
        <v>987</v>
      </c>
      <c r="F324" s="342"/>
      <c r="G324" s="343"/>
      <c r="H324" s="1856">
        <f>H325+H330</f>
        <v>12200</v>
      </c>
      <c r="I324" s="1857">
        <v>0</v>
      </c>
      <c r="J324" s="601">
        <f t="shared" ref="J324:J326" si="9">H324-I324</f>
        <v>12200</v>
      </c>
      <c r="K324" s="427"/>
      <c r="L324" s="428"/>
      <c r="M324" s="666"/>
      <c r="N324" s="2141"/>
      <c r="O324" s="609"/>
      <c r="P324" s="1473"/>
      <c r="Q324" s="1473"/>
      <c r="R324" s="1473"/>
      <c r="S324" s="1426"/>
      <c r="T324" s="1429"/>
      <c r="U324" s="387"/>
      <c r="V324" s="389"/>
      <c r="W324" s="389"/>
      <c r="X324" s="389"/>
    </row>
    <row r="325" spans="1:24" ht="18" customHeight="1">
      <c r="A325" s="1229"/>
      <c r="B325" s="1230"/>
      <c r="C325" s="1230"/>
      <c r="D325" s="1230"/>
      <c r="E325" s="1230"/>
      <c r="F325" s="1234" t="s">
        <v>1488</v>
      </c>
      <c r="G325" s="1243"/>
      <c r="H325" s="1859">
        <f>H326+H328</f>
        <v>3800</v>
      </c>
      <c r="I325" s="1952">
        <v>0</v>
      </c>
      <c r="J325" s="597">
        <f t="shared" si="9"/>
        <v>3800</v>
      </c>
      <c r="K325" s="1364"/>
      <c r="L325" s="1365"/>
      <c r="M325" s="668"/>
      <c r="N325" s="2156"/>
      <c r="O325" s="1478"/>
      <c r="P325" s="1473"/>
      <c r="Q325" s="1473"/>
      <c r="R325" s="1473"/>
      <c r="S325" s="1478"/>
      <c r="T325" s="1478"/>
      <c r="U325" s="1478"/>
      <c r="V325" s="1478"/>
      <c r="W325" s="1478"/>
      <c r="X325" s="1478"/>
    </row>
    <row r="326" spans="1:24" ht="18" customHeight="1">
      <c r="A326" s="1229"/>
      <c r="B326" s="1230"/>
      <c r="C326" s="1230"/>
      <c r="D326" s="1230"/>
      <c r="E326" s="1230"/>
      <c r="F326" s="1253"/>
      <c r="G326" s="1230" t="s">
        <v>1489</v>
      </c>
      <c r="H326" s="1862">
        <f>M326</f>
        <v>500</v>
      </c>
      <c r="I326" s="1957">
        <v>0</v>
      </c>
      <c r="J326" s="590">
        <f t="shared" si="9"/>
        <v>500</v>
      </c>
      <c r="K326" s="1522" t="s">
        <v>1489</v>
      </c>
      <c r="L326" s="1367"/>
      <c r="M326" s="1827">
        <f>M327</f>
        <v>500</v>
      </c>
      <c r="N326" s="2157"/>
      <c r="O326" s="1478"/>
      <c r="P326" s="1473"/>
      <c r="Q326" s="1473"/>
      <c r="R326" s="1473"/>
      <c r="S326" s="1478"/>
      <c r="T326" s="1478"/>
      <c r="U326" s="1478"/>
      <c r="V326" s="1478"/>
      <c r="W326" s="1478"/>
      <c r="X326" s="1478"/>
    </row>
    <row r="327" spans="1:24" ht="18" customHeight="1">
      <c r="A327" s="1229"/>
      <c r="B327" s="1230"/>
      <c r="C327" s="1230"/>
      <c r="D327" s="1230"/>
      <c r="E327" s="1230"/>
      <c r="F327" s="1253"/>
      <c r="G327" s="1254"/>
      <c r="H327" s="1864"/>
      <c r="I327" s="1958"/>
      <c r="J327" s="595"/>
      <c r="K327" s="1523" t="s">
        <v>1737</v>
      </c>
      <c r="L327" s="1369" t="s">
        <v>464</v>
      </c>
      <c r="M327" s="666">
        <v>500</v>
      </c>
      <c r="N327" s="1503" t="s">
        <v>1923</v>
      </c>
      <c r="O327" s="1478"/>
      <c r="P327" s="1473">
        <v>500000</v>
      </c>
      <c r="Q327" s="1473">
        <v>1</v>
      </c>
      <c r="R327" s="1473"/>
      <c r="S327" s="1478"/>
      <c r="T327" s="1478"/>
      <c r="U327" s="1478"/>
      <c r="V327" s="1478"/>
      <c r="W327" s="1478"/>
      <c r="X327" s="1478"/>
    </row>
    <row r="328" spans="1:24" ht="18" customHeight="1">
      <c r="A328" s="1229"/>
      <c r="B328" s="1230"/>
      <c r="C328" s="1230"/>
      <c r="D328" s="1230"/>
      <c r="E328" s="1230"/>
      <c r="F328" s="1253"/>
      <c r="G328" s="1230" t="s">
        <v>1490</v>
      </c>
      <c r="H328" s="1862">
        <f>M328</f>
        <v>3300</v>
      </c>
      <c r="I328" s="1957">
        <v>0</v>
      </c>
      <c r="J328" s="590">
        <f>H328-I328</f>
        <v>3300</v>
      </c>
      <c r="K328" s="1524" t="s">
        <v>1490</v>
      </c>
      <c r="L328" s="1371"/>
      <c r="M328" s="1827">
        <f>M329</f>
        <v>3300</v>
      </c>
      <c r="N328" s="2157"/>
      <c r="O328" s="1478"/>
      <c r="P328" s="1473"/>
      <c r="Q328" s="1473"/>
      <c r="R328" s="1473"/>
      <c r="S328" s="1478"/>
      <c r="T328" s="1478"/>
      <c r="U328" s="1478"/>
      <c r="V328" s="1478"/>
      <c r="W328" s="1478"/>
      <c r="X328" s="1478"/>
    </row>
    <row r="329" spans="1:24" ht="18" customHeight="1">
      <c r="A329" s="1229"/>
      <c r="B329" s="1230"/>
      <c r="C329" s="1230"/>
      <c r="D329" s="1236"/>
      <c r="E329" s="1236"/>
      <c r="F329" s="1255"/>
      <c r="G329" s="1236"/>
      <c r="H329" s="1862"/>
      <c r="I329" s="1957"/>
      <c r="J329" s="590"/>
      <c r="K329" s="1525" t="s">
        <v>1738</v>
      </c>
      <c r="L329" s="1040" t="s">
        <v>242</v>
      </c>
      <c r="M329" s="666">
        <v>3300</v>
      </c>
      <c r="N329" s="1509" t="s">
        <v>1924</v>
      </c>
      <c r="O329" s="1478"/>
      <c r="P329" s="1473">
        <v>330000</v>
      </c>
      <c r="Q329" s="1473">
        <v>10</v>
      </c>
      <c r="R329" s="1473"/>
      <c r="S329" s="1478"/>
      <c r="T329" s="1478"/>
      <c r="U329" s="1478"/>
      <c r="V329" s="1478"/>
      <c r="W329" s="1478"/>
      <c r="X329" s="1478"/>
    </row>
    <row r="330" spans="1:24" ht="18" customHeight="1">
      <c r="A330" s="1256"/>
      <c r="B330" s="1257"/>
      <c r="C330" s="1257"/>
      <c r="D330" s="1257"/>
      <c r="E330" s="1257"/>
      <c r="F330" s="1258" t="s">
        <v>417</v>
      </c>
      <c r="G330" s="1259"/>
      <c r="H330" s="1868">
        <f>H331</f>
        <v>8400</v>
      </c>
      <c r="I330" s="1959">
        <v>0</v>
      </c>
      <c r="J330" s="597">
        <f>H330-I330</f>
        <v>8400</v>
      </c>
      <c r="K330" s="1526"/>
      <c r="L330" s="1374"/>
      <c r="M330" s="668"/>
      <c r="N330" s="2157"/>
      <c r="O330" s="1478"/>
      <c r="P330" s="1473"/>
      <c r="Q330" s="1473"/>
      <c r="R330" s="1473"/>
      <c r="S330" s="1478"/>
      <c r="T330" s="1478"/>
      <c r="U330" s="1478"/>
      <c r="V330" s="1478"/>
      <c r="W330" s="1478"/>
      <c r="X330" s="1478"/>
    </row>
    <row r="331" spans="1:24" ht="18" customHeight="1">
      <c r="A331" s="1256"/>
      <c r="B331" s="1257"/>
      <c r="C331" s="1257"/>
      <c r="D331" s="1257"/>
      <c r="E331" s="1257"/>
      <c r="F331" s="1260"/>
      <c r="G331" s="1257" t="s">
        <v>1491</v>
      </c>
      <c r="H331" s="1862">
        <f>M331</f>
        <v>8400</v>
      </c>
      <c r="I331" s="1957">
        <v>0</v>
      </c>
      <c r="J331" s="590">
        <f>H331-I331</f>
        <v>8400</v>
      </c>
      <c r="K331" s="1375" t="s">
        <v>1491</v>
      </c>
      <c r="L331" s="1376"/>
      <c r="M331" s="1827">
        <f>M332+M333+M334</f>
        <v>8400</v>
      </c>
      <c r="N331" s="2157"/>
      <c r="O331" s="1478"/>
      <c r="P331" s="1473"/>
      <c r="Q331" s="1473"/>
      <c r="R331" s="1473"/>
      <c r="S331" s="1478"/>
      <c r="T331" s="1478"/>
      <c r="U331" s="1478"/>
      <c r="V331" s="1478"/>
      <c r="W331" s="1478"/>
      <c r="X331" s="1478"/>
    </row>
    <row r="332" spans="1:24" ht="18" customHeight="1">
      <c r="A332" s="1256"/>
      <c r="B332" s="1257"/>
      <c r="C332" s="1257"/>
      <c r="D332" s="1261"/>
      <c r="E332" s="1261"/>
      <c r="F332" s="1262"/>
      <c r="G332" s="1261"/>
      <c r="H332" s="1862"/>
      <c r="I332" s="1957"/>
      <c r="J332" s="590"/>
      <c r="K332" s="1399" t="s">
        <v>1739</v>
      </c>
      <c r="L332" s="1040" t="s">
        <v>242</v>
      </c>
      <c r="M332" s="666">
        <v>1000</v>
      </c>
      <c r="N332" s="1509" t="s">
        <v>1925</v>
      </c>
      <c r="O332" s="1479"/>
      <c r="P332" s="1473">
        <v>1000000</v>
      </c>
      <c r="Q332" s="1473">
        <v>1</v>
      </c>
      <c r="R332" s="1473">
        <v>1</v>
      </c>
      <c r="S332" s="1480"/>
      <c r="T332" s="1478"/>
      <c r="U332" s="1478"/>
      <c r="V332" s="1478"/>
      <c r="W332" s="1478"/>
      <c r="X332" s="1478"/>
    </row>
    <row r="333" spans="1:24" ht="18" customHeight="1">
      <c r="A333" s="1256"/>
      <c r="B333" s="1257"/>
      <c r="C333" s="1257"/>
      <c r="D333" s="1261"/>
      <c r="E333" s="1261"/>
      <c r="F333" s="1262"/>
      <c r="G333" s="1261"/>
      <c r="H333" s="1862"/>
      <c r="I333" s="1957"/>
      <c r="J333" s="590"/>
      <c r="K333" s="1399" t="s">
        <v>1740</v>
      </c>
      <c r="L333" s="1040" t="s">
        <v>242</v>
      </c>
      <c r="M333" s="666">
        <v>4400</v>
      </c>
      <c r="N333" s="1509" t="s">
        <v>1926</v>
      </c>
      <c r="O333" s="1478"/>
      <c r="P333" s="1473">
        <v>4400000</v>
      </c>
      <c r="Q333" s="1473">
        <v>1</v>
      </c>
      <c r="R333" s="1473">
        <v>1</v>
      </c>
      <c r="S333" s="1480"/>
      <c r="T333" s="1478"/>
      <c r="U333" s="1478"/>
      <c r="V333" s="1478"/>
      <c r="W333" s="1478"/>
      <c r="X333" s="1478"/>
    </row>
    <row r="334" spans="1:24" ht="18" customHeight="1" thickBot="1">
      <c r="A334" s="1256"/>
      <c r="B334" s="1257"/>
      <c r="C334" s="1257"/>
      <c r="D334" s="1261"/>
      <c r="E334" s="1261"/>
      <c r="F334" s="1262"/>
      <c r="G334" s="1261"/>
      <c r="H334" s="1931"/>
      <c r="I334" s="1970"/>
      <c r="J334" s="599"/>
      <c r="K334" s="1399" t="s">
        <v>1741</v>
      </c>
      <c r="L334" s="1040" t="s">
        <v>242</v>
      </c>
      <c r="M334" s="666">
        <v>3000</v>
      </c>
      <c r="N334" s="1509" t="s">
        <v>1927</v>
      </c>
      <c r="O334" s="1479"/>
      <c r="P334" s="1473">
        <v>3000000</v>
      </c>
      <c r="Q334" s="1473">
        <v>1</v>
      </c>
      <c r="R334" s="1473"/>
      <c r="S334" s="1478"/>
      <c r="T334" s="1478"/>
      <c r="U334" s="1478"/>
      <c r="V334" s="1478"/>
      <c r="W334" s="1478"/>
      <c r="X334" s="1478"/>
    </row>
    <row r="335" spans="1:24" ht="18" customHeight="1">
      <c r="A335" s="700" t="s">
        <v>452</v>
      </c>
      <c r="B335" s="701"/>
      <c r="C335" s="338"/>
      <c r="D335" s="338"/>
      <c r="E335" s="338"/>
      <c r="F335" s="338"/>
      <c r="G335" s="339"/>
      <c r="H335" s="1919">
        <f>H336</f>
        <v>141900</v>
      </c>
      <c r="I335" s="1971">
        <v>20640</v>
      </c>
      <c r="J335" s="667">
        <f>H335-I335</f>
        <v>121260</v>
      </c>
      <c r="K335" s="1404"/>
      <c r="L335" s="1405"/>
      <c r="M335" s="1851"/>
      <c r="N335" s="2141"/>
      <c r="O335" s="609"/>
      <c r="P335" s="610"/>
      <c r="Q335" s="1426"/>
      <c r="R335" s="1426"/>
      <c r="S335" s="1426"/>
      <c r="T335" s="1427"/>
      <c r="U335" s="387"/>
      <c r="V335" s="389"/>
      <c r="W335" s="389"/>
      <c r="X335" s="389"/>
    </row>
    <row r="336" spans="1:24" ht="18" customHeight="1">
      <c r="A336" s="340"/>
      <c r="B336" s="341" t="s">
        <v>1481</v>
      </c>
      <c r="C336" s="341"/>
      <c r="D336" s="342"/>
      <c r="E336" s="342"/>
      <c r="F336" s="342"/>
      <c r="G336" s="343"/>
      <c r="H336" s="1919">
        <f>H337+H347+H356</f>
        <v>141900</v>
      </c>
      <c r="I336" s="1971">
        <v>20640</v>
      </c>
      <c r="J336" s="667">
        <f t="shared" ref="J336:J341" si="10">H336-I336</f>
        <v>121260</v>
      </c>
      <c r="K336" s="1304"/>
      <c r="L336" s="1305"/>
      <c r="M336" s="666"/>
      <c r="N336" s="2141"/>
      <c r="O336" s="609"/>
      <c r="P336" s="610"/>
      <c r="Q336" s="1426"/>
      <c r="R336" s="1426"/>
      <c r="S336" s="1426"/>
      <c r="T336" s="1427"/>
      <c r="U336" s="387"/>
      <c r="V336" s="389"/>
      <c r="W336" s="389"/>
      <c r="X336" s="389"/>
    </row>
    <row r="337" spans="1:24" ht="18" customHeight="1">
      <c r="A337" s="340"/>
      <c r="B337" s="344"/>
      <c r="C337" s="1202" t="s">
        <v>1482</v>
      </c>
      <c r="D337" s="342"/>
      <c r="E337" s="342"/>
      <c r="F337" s="342"/>
      <c r="G337" s="343"/>
      <c r="H337" s="1955">
        <f>H338</f>
        <v>75800</v>
      </c>
      <c r="I337" s="1972">
        <v>19170</v>
      </c>
      <c r="J337" s="607">
        <f t="shared" si="10"/>
        <v>56630</v>
      </c>
      <c r="K337" s="1304"/>
      <c r="L337" s="1305"/>
      <c r="M337" s="668"/>
      <c r="N337" s="2142"/>
      <c r="O337" s="1428"/>
      <c r="P337" s="1428"/>
      <c r="Q337" s="1428"/>
      <c r="R337" s="1428"/>
      <c r="S337" s="1428"/>
      <c r="T337" s="1428"/>
      <c r="U337" s="1428"/>
      <c r="V337" s="389"/>
      <c r="W337" s="389"/>
      <c r="X337" s="389"/>
    </row>
    <row r="338" spans="1:24" ht="18" customHeight="1">
      <c r="A338" s="340"/>
      <c r="B338" s="344"/>
      <c r="C338" s="346"/>
      <c r="D338" s="1202" t="s">
        <v>1507</v>
      </c>
      <c r="E338" s="342"/>
      <c r="F338" s="342"/>
      <c r="G338" s="343"/>
      <c r="H338" s="1866">
        <f>H339</f>
        <v>75800</v>
      </c>
      <c r="I338" s="1942">
        <v>19170</v>
      </c>
      <c r="J338" s="601">
        <f t="shared" si="10"/>
        <v>56630</v>
      </c>
      <c r="K338" s="1306"/>
      <c r="L338" s="1307"/>
      <c r="M338" s="668"/>
      <c r="N338" s="2141"/>
      <c r="O338" s="609"/>
      <c r="P338" s="610"/>
      <c r="Q338" s="1426"/>
      <c r="R338" s="1426"/>
      <c r="S338" s="1426"/>
      <c r="T338" s="1427"/>
      <c r="U338" s="387"/>
      <c r="V338" s="389"/>
      <c r="W338" s="389"/>
      <c r="X338" s="389"/>
    </row>
    <row r="339" spans="1:24" ht="18" customHeight="1">
      <c r="A339" s="340"/>
      <c r="B339" s="344"/>
      <c r="C339" s="1203"/>
      <c r="D339" s="348"/>
      <c r="E339" s="341" t="s">
        <v>1508</v>
      </c>
      <c r="F339" s="342"/>
      <c r="G339" s="343"/>
      <c r="H339" s="1955">
        <f>H340</f>
        <v>75800</v>
      </c>
      <c r="I339" s="1972">
        <v>19170</v>
      </c>
      <c r="J339" s="607">
        <f t="shared" si="10"/>
        <v>56630</v>
      </c>
      <c r="K339" s="1308"/>
      <c r="L339" s="1309"/>
      <c r="M339" s="668"/>
      <c r="N339" s="2141"/>
      <c r="O339" s="609"/>
      <c r="P339" s="610"/>
      <c r="Q339" s="1426"/>
      <c r="R339" s="1426"/>
      <c r="S339" s="1426"/>
      <c r="T339" s="1429"/>
      <c r="U339" s="387"/>
      <c r="V339" s="389"/>
      <c r="W339" s="389"/>
      <c r="X339" s="389"/>
    </row>
    <row r="340" spans="1:24" ht="18" customHeight="1">
      <c r="A340" s="340"/>
      <c r="B340" s="344"/>
      <c r="C340" s="1286"/>
      <c r="D340" s="344"/>
      <c r="E340" s="387"/>
      <c r="F340" s="391" t="s">
        <v>455</v>
      </c>
      <c r="G340" s="392"/>
      <c r="H340" s="1868">
        <f>H341</f>
        <v>75800</v>
      </c>
      <c r="I340" s="1973">
        <v>19170</v>
      </c>
      <c r="J340" s="597">
        <f t="shared" si="10"/>
        <v>56630</v>
      </c>
      <c r="K340" s="1406"/>
      <c r="L340" s="1407"/>
      <c r="M340" s="1078"/>
      <c r="N340" s="2141"/>
      <c r="O340" s="609"/>
      <c r="P340" s="610"/>
      <c r="Q340" s="1426"/>
      <c r="R340" s="1426"/>
      <c r="S340" s="1426"/>
      <c r="T340" s="1429"/>
      <c r="U340" s="387"/>
      <c r="V340" s="389"/>
      <c r="W340" s="389"/>
      <c r="X340" s="389"/>
    </row>
    <row r="341" spans="1:24" ht="18" customHeight="1">
      <c r="A341" s="340"/>
      <c r="B341" s="344"/>
      <c r="C341" s="1286"/>
      <c r="D341" s="344"/>
      <c r="E341" s="387"/>
      <c r="F341" s="370"/>
      <c r="G341" s="344" t="s">
        <v>456</v>
      </c>
      <c r="H341" s="683">
        <f>M341</f>
        <v>75800</v>
      </c>
      <c r="I341" s="1907">
        <v>19170</v>
      </c>
      <c r="J341" s="590">
        <f t="shared" si="10"/>
        <v>56630</v>
      </c>
      <c r="K341" s="444" t="s">
        <v>1219</v>
      </c>
      <c r="L341" s="441"/>
      <c r="M341" s="1824">
        <f>M342+M343+M344+M345+M346</f>
        <v>75800</v>
      </c>
      <c r="N341" s="1463"/>
      <c r="O341" s="1512"/>
      <c r="P341" s="610"/>
      <c r="Q341" s="1426"/>
      <c r="R341" s="1426"/>
      <c r="S341" s="1426"/>
      <c r="T341" s="1429"/>
      <c r="U341" s="387"/>
      <c r="V341" s="389"/>
      <c r="W341" s="389"/>
      <c r="X341" s="389"/>
    </row>
    <row r="342" spans="1:24" ht="18" customHeight="1">
      <c r="A342" s="1287"/>
      <c r="B342" s="1288"/>
      <c r="C342" s="1288"/>
      <c r="D342" s="1288"/>
      <c r="E342" s="1288"/>
      <c r="F342" s="1288"/>
      <c r="G342" s="1288"/>
      <c r="H342" s="683"/>
      <c r="I342" s="1974"/>
      <c r="J342" s="590"/>
      <c r="K342" s="1399" t="s">
        <v>1742</v>
      </c>
      <c r="L342" s="1042" t="s">
        <v>464</v>
      </c>
      <c r="M342" s="666">
        <v>28600</v>
      </c>
      <c r="N342" s="1509" t="s">
        <v>1928</v>
      </c>
      <c r="O342" s="1513"/>
      <c r="P342" s="1514">
        <v>2200000</v>
      </c>
      <c r="Q342" s="1515">
        <v>13</v>
      </c>
      <c r="R342" s="1515"/>
      <c r="S342" s="1515"/>
      <c r="T342" s="1515"/>
      <c r="U342" s="1515"/>
      <c r="V342" s="1515"/>
      <c r="W342" s="1515"/>
      <c r="X342" s="1515"/>
    </row>
    <row r="343" spans="1:24" ht="18" customHeight="1">
      <c r="A343" s="1287"/>
      <c r="B343" s="1288"/>
      <c r="C343" s="1288"/>
      <c r="D343" s="1288"/>
      <c r="E343" s="1288"/>
      <c r="F343" s="1288"/>
      <c r="G343" s="1288"/>
      <c r="H343" s="683"/>
      <c r="I343" s="1974"/>
      <c r="J343" s="590"/>
      <c r="K343" s="1331" t="s">
        <v>1743</v>
      </c>
      <c r="L343" s="1042" t="s">
        <v>464</v>
      </c>
      <c r="M343" s="666">
        <v>20000</v>
      </c>
      <c r="N343" s="1509" t="s">
        <v>1929</v>
      </c>
      <c r="O343" s="1513"/>
      <c r="P343" s="1514">
        <v>20000000</v>
      </c>
      <c r="Q343" s="1515">
        <v>1</v>
      </c>
      <c r="R343" s="1515"/>
      <c r="S343" s="1515"/>
      <c r="T343" s="1515"/>
      <c r="U343" s="1515"/>
      <c r="V343" s="1515"/>
      <c r="W343" s="1515"/>
      <c r="X343" s="1515"/>
    </row>
    <row r="344" spans="1:24" ht="18" customHeight="1">
      <c r="A344" s="1287"/>
      <c r="B344" s="1288"/>
      <c r="C344" s="1288"/>
      <c r="D344" s="1288"/>
      <c r="E344" s="1288"/>
      <c r="F344" s="1288"/>
      <c r="G344" s="1288"/>
      <c r="H344" s="683"/>
      <c r="I344" s="1974"/>
      <c r="J344" s="590"/>
      <c r="K344" s="1331" t="s">
        <v>1744</v>
      </c>
      <c r="L344" s="1042" t="s">
        <v>464</v>
      </c>
      <c r="M344" s="666">
        <v>15000</v>
      </c>
      <c r="N344" s="1509" t="s">
        <v>1930</v>
      </c>
      <c r="O344" s="1513"/>
      <c r="P344" s="1514">
        <v>15000000</v>
      </c>
      <c r="Q344" s="1515">
        <v>1</v>
      </c>
      <c r="R344" s="1515"/>
      <c r="S344" s="1515"/>
      <c r="T344" s="1515"/>
      <c r="U344" s="1515"/>
      <c r="V344" s="1515"/>
      <c r="W344" s="1515"/>
      <c r="X344" s="1515"/>
    </row>
    <row r="345" spans="1:24" ht="18" customHeight="1">
      <c r="A345" s="1287"/>
      <c r="B345" s="1288"/>
      <c r="C345" s="1288"/>
      <c r="D345" s="1288"/>
      <c r="E345" s="1288"/>
      <c r="F345" s="1288"/>
      <c r="G345" s="1288"/>
      <c r="H345" s="683"/>
      <c r="I345" s="1974"/>
      <c r="J345" s="590"/>
      <c r="K345" s="1331" t="s">
        <v>1745</v>
      </c>
      <c r="L345" s="1042" t="s">
        <v>464</v>
      </c>
      <c r="M345" s="666">
        <v>10000</v>
      </c>
      <c r="N345" s="1509" t="s">
        <v>1931</v>
      </c>
      <c r="O345" s="1513"/>
      <c r="P345" s="1514">
        <v>5000000</v>
      </c>
      <c r="Q345" s="1515">
        <v>2</v>
      </c>
      <c r="R345" s="1515"/>
      <c r="S345" s="1515"/>
      <c r="T345" s="1515"/>
      <c r="U345" s="1515"/>
      <c r="V345" s="1515"/>
      <c r="W345" s="1515"/>
      <c r="X345" s="1515"/>
    </row>
    <row r="346" spans="1:24" ht="18" customHeight="1">
      <c r="A346" s="1287"/>
      <c r="B346" s="1288"/>
      <c r="C346" s="1288"/>
      <c r="D346" s="1288"/>
      <c r="E346" s="1288"/>
      <c r="F346" s="1288"/>
      <c r="G346" s="1288"/>
      <c r="H346" s="1864"/>
      <c r="I346" s="1974"/>
      <c r="J346" s="590"/>
      <c r="K346" s="1408" t="s">
        <v>1746</v>
      </c>
      <c r="L346" s="1042" t="s">
        <v>464</v>
      </c>
      <c r="M346" s="1078">
        <v>2200</v>
      </c>
      <c r="N346" s="1509" t="s">
        <v>1932</v>
      </c>
      <c r="O346" s="1513"/>
      <c r="P346" s="1514">
        <v>2200000</v>
      </c>
      <c r="Q346" s="1515">
        <v>1</v>
      </c>
      <c r="R346" s="1515"/>
      <c r="S346" s="1515"/>
      <c r="T346" s="1515"/>
      <c r="U346" s="1515"/>
      <c r="V346" s="1515"/>
      <c r="W346" s="1515"/>
      <c r="X346" s="1515"/>
    </row>
    <row r="347" spans="1:24" ht="18" customHeight="1">
      <c r="A347" s="340"/>
      <c r="B347" s="344"/>
      <c r="C347" s="317" t="s">
        <v>314</v>
      </c>
      <c r="D347" s="342"/>
      <c r="E347" s="342"/>
      <c r="F347" s="342"/>
      <c r="G347" s="343"/>
      <c r="H347" s="684">
        <f>H348</f>
        <v>38900</v>
      </c>
      <c r="I347" s="1857">
        <v>1470</v>
      </c>
      <c r="J347" s="1185">
        <f>H347-I347</f>
        <v>37430</v>
      </c>
      <c r="K347" s="540"/>
      <c r="L347" s="541"/>
      <c r="M347" s="666"/>
      <c r="N347" s="2142"/>
      <c r="O347" s="1428"/>
      <c r="P347" s="1516"/>
      <c r="Q347" s="1428"/>
      <c r="R347" s="1428"/>
      <c r="S347" s="1428"/>
      <c r="T347" s="1428"/>
      <c r="U347" s="1428"/>
      <c r="V347" s="389"/>
      <c r="W347" s="389"/>
      <c r="X347" s="389"/>
    </row>
    <row r="348" spans="1:24" ht="18" customHeight="1">
      <c r="A348" s="340"/>
      <c r="B348" s="344"/>
      <c r="C348" s="346"/>
      <c r="D348" s="317" t="s">
        <v>371</v>
      </c>
      <c r="E348" s="342"/>
      <c r="F348" s="342"/>
      <c r="G348" s="343"/>
      <c r="H348" s="1866">
        <f>H349</f>
        <v>38900</v>
      </c>
      <c r="I348" s="1857">
        <v>1470</v>
      </c>
      <c r="J348" s="601">
        <f t="shared" ref="J348:J351" si="11">H348-I348</f>
        <v>37430</v>
      </c>
      <c r="K348" s="425"/>
      <c r="L348" s="777"/>
      <c r="M348" s="668"/>
      <c r="N348" s="2141"/>
      <c r="O348" s="609"/>
      <c r="P348" s="1517"/>
      <c r="Q348" s="1426"/>
      <c r="R348" s="1426"/>
      <c r="S348" s="1426"/>
      <c r="T348" s="1427"/>
      <c r="U348" s="387"/>
      <c r="V348" s="389"/>
      <c r="W348" s="389"/>
      <c r="X348" s="389"/>
    </row>
    <row r="349" spans="1:24" ht="18" customHeight="1">
      <c r="A349" s="340"/>
      <c r="B349" s="344"/>
      <c r="C349" s="702"/>
      <c r="D349" s="348"/>
      <c r="E349" s="341" t="s">
        <v>454</v>
      </c>
      <c r="F349" s="342"/>
      <c r="G349" s="343"/>
      <c r="H349" s="684">
        <f>H350</f>
        <v>38900</v>
      </c>
      <c r="I349" s="1857">
        <v>1470</v>
      </c>
      <c r="J349" s="601">
        <f t="shared" si="11"/>
        <v>37430</v>
      </c>
      <c r="K349" s="427"/>
      <c r="L349" s="428"/>
      <c r="M349" s="668"/>
      <c r="N349" s="2141"/>
      <c r="O349" s="609"/>
      <c r="P349" s="1517"/>
      <c r="Q349" s="1426"/>
      <c r="R349" s="1426"/>
      <c r="S349" s="1426"/>
      <c r="T349" s="1429"/>
      <c r="U349" s="387"/>
      <c r="V349" s="389"/>
      <c r="W349" s="389"/>
      <c r="X349" s="389"/>
    </row>
    <row r="350" spans="1:24" ht="18" customHeight="1">
      <c r="A350" s="340"/>
      <c r="B350" s="344"/>
      <c r="C350" s="1286"/>
      <c r="D350" s="344"/>
      <c r="E350" s="387"/>
      <c r="F350" s="391" t="s">
        <v>1009</v>
      </c>
      <c r="G350" s="392"/>
      <c r="H350" s="1868">
        <f>H351</f>
        <v>38900</v>
      </c>
      <c r="I350" s="1900">
        <v>1470</v>
      </c>
      <c r="J350" s="590">
        <f t="shared" si="11"/>
        <v>37430</v>
      </c>
      <c r="K350" s="477"/>
      <c r="L350" s="474"/>
      <c r="M350" s="1078"/>
      <c r="N350" s="2141"/>
      <c r="O350" s="609"/>
      <c r="P350" s="1517"/>
      <c r="Q350" s="1426"/>
      <c r="R350" s="1426"/>
      <c r="S350" s="1426"/>
      <c r="T350" s="1429"/>
      <c r="U350" s="387"/>
      <c r="V350" s="389"/>
      <c r="W350" s="389"/>
      <c r="X350" s="389"/>
    </row>
    <row r="351" spans="1:24" ht="18" customHeight="1">
      <c r="A351" s="340"/>
      <c r="B351" s="344"/>
      <c r="C351" s="1286"/>
      <c r="D351" s="344"/>
      <c r="E351" s="387"/>
      <c r="F351" s="370"/>
      <c r="G351" s="344" t="s">
        <v>1219</v>
      </c>
      <c r="H351" s="1876">
        <f>M351</f>
        <v>38900</v>
      </c>
      <c r="I351" s="1898">
        <v>1470</v>
      </c>
      <c r="J351" s="594">
        <f t="shared" si="11"/>
        <v>37430</v>
      </c>
      <c r="K351" s="444" t="s">
        <v>1219</v>
      </c>
      <c r="L351" s="441"/>
      <c r="M351" s="1824">
        <f>M352+M353+M354+M355</f>
        <v>38900</v>
      </c>
      <c r="N351" s="2141"/>
      <c r="O351" s="609"/>
      <c r="P351" s="1517"/>
      <c r="Q351" s="1426"/>
      <c r="R351" s="1426"/>
      <c r="S351" s="1426"/>
      <c r="T351" s="1429"/>
      <c r="U351" s="387"/>
      <c r="V351" s="389"/>
      <c r="W351" s="389"/>
      <c r="X351" s="389"/>
    </row>
    <row r="352" spans="1:24" ht="18" customHeight="1">
      <c r="A352" s="1289"/>
      <c r="B352" s="1290"/>
      <c r="C352" s="1290"/>
      <c r="D352" s="1290"/>
      <c r="E352" s="1290"/>
      <c r="F352" s="1290"/>
      <c r="G352" s="1290"/>
      <c r="H352" s="683"/>
      <c r="I352" s="1975"/>
      <c r="J352" s="590"/>
      <c r="K352" s="1399" t="s">
        <v>1747</v>
      </c>
      <c r="L352" s="1042" t="s">
        <v>464</v>
      </c>
      <c r="M352" s="666">
        <v>12000</v>
      </c>
      <c r="N352" s="1509" t="s">
        <v>1933</v>
      </c>
      <c r="O352" s="1518"/>
      <c r="P352" s="1473">
        <v>12000000</v>
      </c>
      <c r="Q352" s="1473">
        <v>1</v>
      </c>
      <c r="R352" s="1519"/>
      <c r="S352" s="1519"/>
      <c r="T352" s="1519"/>
      <c r="U352" s="1519"/>
      <c r="V352" s="1519"/>
      <c r="W352" s="1519"/>
      <c r="X352" s="1519"/>
    </row>
    <row r="353" spans="1:24" ht="18" customHeight="1">
      <c r="A353" s="1289"/>
      <c r="B353" s="1290"/>
      <c r="C353" s="1290"/>
      <c r="D353" s="1290"/>
      <c r="E353" s="1290" t="s">
        <v>1509</v>
      </c>
      <c r="F353" s="1290"/>
      <c r="G353" s="1290"/>
      <c r="H353" s="683"/>
      <c r="I353" s="1975"/>
      <c r="J353" s="590"/>
      <c r="K353" s="1331" t="s">
        <v>1748</v>
      </c>
      <c r="L353" s="1042" t="s">
        <v>464</v>
      </c>
      <c r="M353" s="666">
        <v>15000</v>
      </c>
      <c r="N353" s="1509" t="s">
        <v>1934</v>
      </c>
      <c r="O353" s="1518"/>
      <c r="P353" s="1473">
        <v>15000000</v>
      </c>
      <c r="Q353" s="1473">
        <v>1</v>
      </c>
      <c r="R353" s="1519"/>
      <c r="S353" s="1519"/>
      <c r="T353" s="1519"/>
      <c r="U353" s="1519"/>
      <c r="V353" s="1519"/>
      <c r="W353" s="1519"/>
      <c r="X353" s="1519"/>
    </row>
    <row r="354" spans="1:24" ht="18" customHeight="1">
      <c r="A354" s="1289"/>
      <c r="B354" s="1290"/>
      <c r="C354" s="1290"/>
      <c r="D354" s="1290"/>
      <c r="E354" s="1290"/>
      <c r="F354" s="1290"/>
      <c r="G354" s="1290"/>
      <c r="H354" s="683"/>
      <c r="I354" s="1975"/>
      <c r="J354" s="590"/>
      <c r="K354" s="1399" t="s">
        <v>1749</v>
      </c>
      <c r="L354" s="1042" t="s">
        <v>464</v>
      </c>
      <c r="M354" s="666">
        <v>11000</v>
      </c>
      <c r="N354" s="1509" t="s">
        <v>1928</v>
      </c>
      <c r="O354" s="1518"/>
      <c r="P354" s="1473">
        <v>2200000</v>
      </c>
      <c r="Q354" s="1473">
        <v>5</v>
      </c>
      <c r="R354" s="1519"/>
      <c r="S354" s="1519"/>
      <c r="T354" s="1519"/>
      <c r="U354" s="1519"/>
      <c r="V354" s="1519"/>
      <c r="W354" s="1519"/>
      <c r="X354" s="1519"/>
    </row>
    <row r="355" spans="1:24" ht="18" customHeight="1">
      <c r="A355" s="1289"/>
      <c r="B355" s="1290"/>
      <c r="C355" s="1291"/>
      <c r="D355" s="1291"/>
      <c r="E355" s="1291"/>
      <c r="F355" s="1291"/>
      <c r="G355" s="1291"/>
      <c r="H355" s="683"/>
      <c r="I355" s="1965"/>
      <c r="J355" s="590"/>
      <c r="K355" s="1417" t="s">
        <v>1750</v>
      </c>
      <c r="L355" s="1177" t="s">
        <v>464</v>
      </c>
      <c r="M355" s="1078">
        <v>900</v>
      </c>
      <c r="N355" s="1509" t="s">
        <v>1935</v>
      </c>
      <c r="O355" s="1518"/>
      <c r="P355" s="1473">
        <v>300000</v>
      </c>
      <c r="Q355" s="1473">
        <v>3</v>
      </c>
      <c r="R355" s="1519"/>
      <c r="S355" s="1519"/>
      <c r="T355" s="1519"/>
      <c r="U355" s="1519"/>
      <c r="V355" s="1519"/>
      <c r="W355" s="1519"/>
      <c r="X355" s="1519"/>
    </row>
    <row r="356" spans="1:24" ht="18" customHeight="1">
      <c r="A356" s="1289"/>
      <c r="B356" s="1290"/>
      <c r="C356" s="1292" t="s">
        <v>317</v>
      </c>
      <c r="D356" s="1293"/>
      <c r="E356" s="1293"/>
      <c r="F356" s="1293"/>
      <c r="G356" s="1294"/>
      <c r="H356" s="1866">
        <f>H357</f>
        <v>27200</v>
      </c>
      <c r="I356" s="1976">
        <v>0</v>
      </c>
      <c r="J356" s="601">
        <f>H356-I356</f>
        <v>27200</v>
      </c>
      <c r="K356" s="1418"/>
      <c r="L356" s="1410"/>
      <c r="M356" s="666"/>
      <c r="N356" s="2158"/>
      <c r="O356" s="1518"/>
      <c r="P356" s="1473"/>
      <c r="Q356" s="1473"/>
      <c r="R356" s="1519"/>
      <c r="S356" s="1519"/>
      <c r="T356" s="1519"/>
      <c r="U356" s="1519"/>
      <c r="V356" s="1519"/>
      <c r="W356" s="1519"/>
      <c r="X356" s="1519"/>
    </row>
    <row r="357" spans="1:24" ht="18" customHeight="1">
      <c r="A357" s="1289"/>
      <c r="B357" s="1290"/>
      <c r="C357" s="1290"/>
      <c r="D357" s="1292" t="s">
        <v>372</v>
      </c>
      <c r="E357" s="1295"/>
      <c r="F357" s="1295"/>
      <c r="G357" s="1296"/>
      <c r="H357" s="1866">
        <f>H358</f>
        <v>27200</v>
      </c>
      <c r="I357" s="1976">
        <v>0</v>
      </c>
      <c r="J357" s="601">
        <f t="shared" ref="J357:J360" si="12">H357-I357</f>
        <v>27200</v>
      </c>
      <c r="K357" s="1418"/>
      <c r="L357" s="1410"/>
      <c r="M357" s="668"/>
      <c r="N357" s="2158"/>
      <c r="O357" s="1518"/>
      <c r="P357" s="1473"/>
      <c r="Q357" s="1473"/>
      <c r="R357" s="1519"/>
      <c r="S357" s="1519"/>
      <c r="T357" s="1519"/>
      <c r="U357" s="1519"/>
      <c r="V357" s="1519"/>
      <c r="W357" s="1519"/>
      <c r="X357" s="1519"/>
    </row>
    <row r="358" spans="1:24" ht="18" customHeight="1">
      <c r="A358" s="1289"/>
      <c r="B358" s="1290"/>
      <c r="C358" s="1290"/>
      <c r="D358" s="1297"/>
      <c r="E358" s="1292" t="s">
        <v>454</v>
      </c>
      <c r="F358" s="1295"/>
      <c r="G358" s="1296"/>
      <c r="H358" s="1866">
        <f>H359</f>
        <v>27200</v>
      </c>
      <c r="I358" s="1976">
        <v>0</v>
      </c>
      <c r="J358" s="607">
        <f t="shared" si="12"/>
        <v>27200</v>
      </c>
      <c r="K358" s="1418"/>
      <c r="L358" s="1410"/>
      <c r="M358" s="666"/>
      <c r="N358" s="2158"/>
      <c r="O358" s="1518"/>
      <c r="P358" s="1473"/>
      <c r="Q358" s="1473"/>
      <c r="R358" s="1519"/>
      <c r="S358" s="1519"/>
      <c r="T358" s="1519"/>
      <c r="U358" s="1519"/>
      <c r="V358" s="1519"/>
      <c r="W358" s="1519"/>
      <c r="X358" s="1519"/>
    </row>
    <row r="359" spans="1:24" ht="18" customHeight="1">
      <c r="A359" s="1289"/>
      <c r="B359" s="1290"/>
      <c r="C359" s="1290"/>
      <c r="D359" s="1297"/>
      <c r="E359" s="1297"/>
      <c r="F359" s="1298" t="s">
        <v>1009</v>
      </c>
      <c r="G359" s="1296"/>
      <c r="H359" s="683">
        <f>H360</f>
        <v>27200</v>
      </c>
      <c r="I359" s="1977">
        <v>0</v>
      </c>
      <c r="J359" s="597">
        <f t="shared" si="12"/>
        <v>27200</v>
      </c>
      <c r="K359" s="1418"/>
      <c r="L359" s="1410"/>
      <c r="M359" s="668"/>
      <c r="N359" s="2158"/>
      <c r="O359" s="1518"/>
      <c r="P359" s="1473"/>
      <c r="Q359" s="1473"/>
      <c r="R359" s="1519"/>
      <c r="S359" s="1519"/>
      <c r="T359" s="1519"/>
      <c r="U359" s="1519"/>
      <c r="V359" s="1519"/>
      <c r="W359" s="1519"/>
      <c r="X359" s="1519"/>
    </row>
    <row r="360" spans="1:24" ht="18" customHeight="1">
      <c r="A360" s="1289"/>
      <c r="B360" s="1290"/>
      <c r="C360" s="1290"/>
      <c r="D360" s="1297"/>
      <c r="E360" s="1297"/>
      <c r="F360" s="1297"/>
      <c r="G360" s="1299" t="s">
        <v>1219</v>
      </c>
      <c r="H360" s="1876">
        <f>M360</f>
        <v>27200</v>
      </c>
      <c r="I360" s="1978">
        <v>0</v>
      </c>
      <c r="J360" s="594">
        <f t="shared" si="12"/>
        <v>27200</v>
      </c>
      <c r="K360" s="1419" t="s">
        <v>1219</v>
      </c>
      <c r="L360" s="1411"/>
      <c r="M360" s="1824">
        <f>M361+M362+M363+M364+M365</f>
        <v>27200</v>
      </c>
      <c r="N360" s="2158"/>
      <c r="O360" s="1518"/>
      <c r="P360" s="1473"/>
      <c r="Q360" s="1473"/>
      <c r="R360" s="1519"/>
      <c r="S360" s="1519"/>
      <c r="T360" s="1519"/>
      <c r="U360" s="1519"/>
      <c r="V360" s="1519"/>
      <c r="W360" s="1519"/>
      <c r="X360" s="1519"/>
    </row>
    <row r="361" spans="1:24" ht="18" customHeight="1">
      <c r="A361" s="1289"/>
      <c r="B361" s="1290"/>
      <c r="C361" s="1290"/>
      <c r="D361" s="1290"/>
      <c r="E361" s="1290"/>
      <c r="F361" s="1290"/>
      <c r="G361" s="1297"/>
      <c r="H361" s="683"/>
      <c r="I361" s="1975"/>
      <c r="J361" s="590"/>
      <c r="K361" s="1412" t="s">
        <v>1751</v>
      </c>
      <c r="L361" s="1042" t="s">
        <v>464</v>
      </c>
      <c r="M361" s="666">
        <v>8800</v>
      </c>
      <c r="N361" s="2159" t="s">
        <v>1936</v>
      </c>
      <c r="O361" s="1518"/>
      <c r="P361" s="1473">
        <v>2200000</v>
      </c>
      <c r="Q361" s="1473">
        <v>4</v>
      </c>
      <c r="R361" s="1519"/>
      <c r="S361" s="1519"/>
      <c r="T361" s="1519"/>
      <c r="U361" s="1519"/>
      <c r="V361" s="1519"/>
      <c r="W361" s="1519"/>
      <c r="X361" s="1519"/>
    </row>
    <row r="362" spans="1:24" ht="18" customHeight="1">
      <c r="A362" s="1289"/>
      <c r="B362" s="1290"/>
      <c r="C362" s="1290"/>
      <c r="D362" s="1290"/>
      <c r="E362" s="1290"/>
      <c r="F362" s="1290"/>
      <c r="G362" s="1297"/>
      <c r="H362" s="683"/>
      <c r="I362" s="1975"/>
      <c r="J362" s="590"/>
      <c r="K362" s="1412" t="s">
        <v>1752</v>
      </c>
      <c r="L362" s="1042" t="s">
        <v>464</v>
      </c>
      <c r="M362" s="666">
        <v>600</v>
      </c>
      <c r="N362" s="2159" t="s">
        <v>1937</v>
      </c>
      <c r="O362" s="1518"/>
      <c r="P362" s="1473">
        <v>300000</v>
      </c>
      <c r="Q362" s="1473">
        <v>2</v>
      </c>
      <c r="R362" s="1519"/>
      <c r="S362" s="1519"/>
      <c r="T362" s="1519"/>
      <c r="U362" s="1519"/>
      <c r="V362" s="1519"/>
      <c r="W362" s="1519"/>
      <c r="X362" s="1519"/>
    </row>
    <row r="363" spans="1:24" ht="18" customHeight="1">
      <c r="A363" s="1289"/>
      <c r="B363" s="1290"/>
      <c r="C363" s="1290"/>
      <c r="D363" s="1290"/>
      <c r="E363" s="1290"/>
      <c r="F363" s="1290"/>
      <c r="G363" s="1297"/>
      <c r="H363" s="683"/>
      <c r="I363" s="1975"/>
      <c r="J363" s="590"/>
      <c r="K363" s="1412" t="s">
        <v>1748</v>
      </c>
      <c r="L363" s="1042" t="s">
        <v>464</v>
      </c>
      <c r="M363" s="666">
        <v>15000</v>
      </c>
      <c r="N363" s="2159" t="s">
        <v>1938</v>
      </c>
      <c r="O363" s="1518"/>
      <c r="P363" s="1473">
        <v>15000000</v>
      </c>
      <c r="Q363" s="1473">
        <v>1</v>
      </c>
      <c r="R363" s="1519"/>
      <c r="S363" s="1519"/>
      <c r="T363" s="1519"/>
      <c r="U363" s="1519"/>
      <c r="V363" s="1519"/>
      <c r="W363" s="1519"/>
      <c r="X363" s="1519"/>
    </row>
    <row r="364" spans="1:24" ht="18" customHeight="1">
      <c r="A364" s="1289"/>
      <c r="B364" s="1290"/>
      <c r="C364" s="1290"/>
      <c r="D364" s="1290"/>
      <c r="E364" s="1290"/>
      <c r="F364" s="1290"/>
      <c r="G364" s="1297"/>
      <c r="H364" s="683"/>
      <c r="I364" s="1975"/>
      <c r="J364" s="590"/>
      <c r="K364" s="1412" t="s">
        <v>1753</v>
      </c>
      <c r="L364" s="1042" t="s">
        <v>464</v>
      </c>
      <c r="M364" s="666">
        <v>1800</v>
      </c>
      <c r="N364" s="2159" t="s">
        <v>1939</v>
      </c>
      <c r="O364" s="1518"/>
      <c r="P364" s="1473">
        <v>180000</v>
      </c>
      <c r="Q364" s="1473">
        <v>10</v>
      </c>
      <c r="R364" s="1519"/>
      <c r="S364" s="1519"/>
      <c r="T364" s="1519"/>
      <c r="U364" s="1519"/>
      <c r="V364" s="1519"/>
      <c r="W364" s="1519"/>
      <c r="X364" s="1519"/>
    </row>
    <row r="365" spans="1:24" ht="18" customHeight="1">
      <c r="A365" s="1289"/>
      <c r="B365" s="1290"/>
      <c r="C365" s="1290"/>
      <c r="D365" s="1290"/>
      <c r="E365" s="1290"/>
      <c r="F365" s="1290"/>
      <c r="G365" s="1297"/>
      <c r="H365" s="1864"/>
      <c r="I365" s="1975"/>
      <c r="J365" s="595"/>
      <c r="K365" s="1412" t="s">
        <v>1754</v>
      </c>
      <c r="L365" s="1042" t="s">
        <v>464</v>
      </c>
      <c r="M365" s="1078">
        <v>1000</v>
      </c>
      <c r="N365" s="2159" t="s">
        <v>1940</v>
      </c>
      <c r="O365" s="1518"/>
      <c r="P365" s="1473">
        <v>500000</v>
      </c>
      <c r="Q365" s="1473">
        <v>2</v>
      </c>
      <c r="R365" s="1519"/>
      <c r="S365" s="1519"/>
      <c r="T365" s="1519"/>
      <c r="U365" s="1519"/>
      <c r="V365" s="1519"/>
      <c r="W365" s="1519"/>
      <c r="X365" s="1519"/>
    </row>
    <row r="366" spans="1:24" ht="18" customHeight="1">
      <c r="A366" s="1289"/>
      <c r="B366" s="1290"/>
      <c r="C366" s="1292" t="s">
        <v>320</v>
      </c>
      <c r="D366" s="1293"/>
      <c r="E366" s="1293"/>
      <c r="F366" s="1293"/>
      <c r="G366" s="1294"/>
      <c r="H366" s="1919">
        <f>H367</f>
        <v>0</v>
      </c>
      <c r="I366" s="1976">
        <v>0</v>
      </c>
      <c r="J366" s="601">
        <f>H366-I366</f>
        <v>0</v>
      </c>
      <c r="K366" s="1409"/>
      <c r="L366" s="1413"/>
      <c r="M366" s="666"/>
      <c r="N366" s="2158"/>
      <c r="O366" s="1518"/>
      <c r="P366" s="1473"/>
      <c r="Q366" s="1473"/>
      <c r="R366" s="1519"/>
      <c r="S366" s="1519"/>
      <c r="T366" s="1519"/>
      <c r="U366" s="1519"/>
      <c r="V366" s="1519"/>
      <c r="W366" s="1519"/>
      <c r="X366" s="1519"/>
    </row>
    <row r="367" spans="1:24" ht="18" customHeight="1">
      <c r="A367" s="1289"/>
      <c r="B367" s="1290"/>
      <c r="C367" s="1300"/>
      <c r="D367" s="1292" t="s">
        <v>373</v>
      </c>
      <c r="E367" s="1293"/>
      <c r="F367" s="1293"/>
      <c r="G367" s="1294"/>
      <c r="H367" s="684">
        <f>H368</f>
        <v>0</v>
      </c>
      <c r="I367" s="1976">
        <v>0</v>
      </c>
      <c r="J367" s="1520">
        <f t="shared" ref="J367:J370" si="13">H367-I367</f>
        <v>0</v>
      </c>
      <c r="K367" s="1409"/>
      <c r="L367" s="1413"/>
      <c r="M367" s="668"/>
      <c r="N367" s="2158"/>
      <c r="O367" s="1518"/>
      <c r="P367" s="1473"/>
      <c r="Q367" s="1473"/>
      <c r="R367" s="1519"/>
      <c r="S367" s="1519"/>
      <c r="T367" s="1519"/>
      <c r="U367" s="1519"/>
      <c r="V367" s="1519"/>
      <c r="W367" s="1519"/>
      <c r="X367" s="1519"/>
    </row>
    <row r="368" spans="1:24" ht="18" customHeight="1">
      <c r="A368" s="1289"/>
      <c r="B368" s="1290"/>
      <c r="C368" s="1300"/>
      <c r="D368" s="1300"/>
      <c r="E368" s="1292" t="s">
        <v>454</v>
      </c>
      <c r="F368" s="1293"/>
      <c r="G368" s="1294"/>
      <c r="H368" s="1866">
        <f>H369</f>
        <v>0</v>
      </c>
      <c r="I368" s="1976">
        <v>0</v>
      </c>
      <c r="J368" s="1185">
        <f t="shared" si="13"/>
        <v>0</v>
      </c>
      <c r="K368" s="1409"/>
      <c r="L368" s="1413"/>
      <c r="M368" s="668"/>
      <c r="N368" s="2158"/>
      <c r="O368" s="1518"/>
      <c r="P368" s="1473"/>
      <c r="Q368" s="1473"/>
      <c r="R368" s="1519"/>
      <c r="S368" s="1519"/>
      <c r="T368" s="1519"/>
      <c r="U368" s="1519"/>
      <c r="V368" s="1519"/>
      <c r="W368" s="1519"/>
      <c r="X368" s="1519"/>
    </row>
    <row r="369" spans="1:24" ht="18" customHeight="1">
      <c r="A369" s="1289"/>
      <c r="B369" s="1290"/>
      <c r="C369" s="1297"/>
      <c r="D369" s="1297"/>
      <c r="E369" s="1297"/>
      <c r="F369" s="1298" t="s">
        <v>1009</v>
      </c>
      <c r="G369" s="1296"/>
      <c r="H369" s="1868">
        <f>H370</f>
        <v>0</v>
      </c>
      <c r="I369" s="1977">
        <v>0</v>
      </c>
      <c r="J369" s="597">
        <f t="shared" si="13"/>
        <v>0</v>
      </c>
      <c r="K369" s="1409"/>
      <c r="L369" s="1413"/>
      <c r="M369" s="1078"/>
      <c r="N369" s="2158"/>
      <c r="O369" s="1518"/>
      <c r="P369" s="1473"/>
      <c r="Q369" s="1473"/>
      <c r="R369" s="1519"/>
      <c r="S369" s="1519"/>
      <c r="T369" s="1519"/>
      <c r="U369" s="1519"/>
      <c r="V369" s="1519"/>
      <c r="W369" s="1519"/>
      <c r="X369" s="1519"/>
    </row>
    <row r="370" spans="1:24" ht="18" customHeight="1" thickBot="1">
      <c r="A370" s="1301"/>
      <c r="B370" s="1302"/>
      <c r="C370" s="1303"/>
      <c r="D370" s="1303"/>
      <c r="E370" s="1303"/>
      <c r="F370" s="1303"/>
      <c r="G370" s="1303" t="s">
        <v>1219</v>
      </c>
      <c r="H370" s="1904">
        <f>M370</f>
        <v>0</v>
      </c>
      <c r="I370" s="1979">
        <v>0</v>
      </c>
      <c r="J370" s="849">
        <f t="shared" si="13"/>
        <v>0</v>
      </c>
      <c r="K370" s="1414"/>
      <c r="L370" s="1415"/>
      <c r="M370" s="1077">
        <v>0</v>
      </c>
      <c r="N370" s="2160"/>
      <c r="O370" s="1518"/>
      <c r="P370" s="1473"/>
      <c r="Q370" s="1473"/>
      <c r="R370" s="1519"/>
      <c r="S370" s="1519"/>
      <c r="T370" s="1519"/>
      <c r="U370" s="1519"/>
      <c r="V370" s="1519"/>
      <c r="W370" s="1519"/>
      <c r="X370" s="1519"/>
    </row>
  </sheetData>
  <protectedRanges>
    <protectedRange password="ECE8" sqref="O2:X4" name="작성자만수정_1"/>
    <protectedRange password="ECE8" sqref="O347:X351" name="작성자만수정_2_1_1_3"/>
    <protectedRange password="ECE8" sqref="O341:X342" name="작성자만수정_2_1_1_7"/>
    <protectedRange password="ECE8" sqref="O21:X21 O101:X102 O7:X9" name="작성자만수정_2_1_1_8"/>
    <protectedRange password="ECE8" sqref="O124:X124 O175:X176 O241:X243 O274:X274 O323:X324 O111:X113" name="작성자만수정_2_1_1_1_3"/>
    <protectedRange password="ECE8" sqref="O186:X200 O203:X240" name="작성자만수정_2_1_1_2_1"/>
    <protectedRange password="ECE8" sqref="O201:X202" name="작성자만수정_2_1_1_1_1_1"/>
    <protectedRange password="ECE8" sqref="N361:N365" name="작성자만수정_2_1_1_2_4"/>
  </protectedRanges>
  <mergeCells count="11">
    <mergeCell ref="K2:M3"/>
    <mergeCell ref="A4:G4"/>
    <mergeCell ref="F189:G189"/>
    <mergeCell ref="F232:G232"/>
    <mergeCell ref="N90:N91"/>
    <mergeCell ref="A2:A3"/>
    <mergeCell ref="B2:D2"/>
    <mergeCell ref="E2:G2"/>
    <mergeCell ref="H2:H3"/>
    <mergeCell ref="I2:I3"/>
    <mergeCell ref="J2:J3"/>
  </mergeCells>
  <phoneticPr fontId="3" type="noConversion"/>
  <conditionalFormatting sqref="J2:J3">
    <cfRule type="containsText" dxfId="11" priority="1" operator="containsText" text="허하나로">
      <formula>NOT(ISERROR(SEARCH("허하나로",H1534)))</formula>
    </cfRule>
    <cfRule type="containsText" dxfId="10" priority="2" operator="containsText" text="한별">
      <formula>NOT(ISERROR(SEARCH("한별",H1534)))</formula>
    </cfRule>
    <cfRule type="containsText" dxfId="9" priority="3" operator="containsText" text="정홍조">
      <formula>NOT(ISERROR(SEARCH("정홍조",H1534)))</formula>
    </cfRule>
    <cfRule type="containsText" dxfId="8" priority="4" operator="containsText" text="김지윤">
      <formula>NOT(ISERROR(SEARCH("김지윤",H1534)))</formula>
    </cfRule>
    <cfRule type="containsText" dxfId="7" priority="5" operator="containsText" text="전준영">
      <formula>NOT(ISERROR(SEARCH("전준영",H1534)))</formula>
    </cfRule>
    <cfRule type="containsText" dxfId="6" priority="6" operator="containsText" text="차재성">
      <formula>NOT(ISERROR(SEARCH("차재성",H1534)))</formula>
    </cfRule>
  </conditionalFormatting>
  <pageMargins left="0.94488188976377951" right="0.78740157480314965" top="0.6692913385826772" bottom="0.98425196850393704" header="0.51181102362204722" footer="0.51181102362204722"/>
  <pageSetup paperSize="9" scale="66" orientation="landscape" r:id="rId1"/>
  <colBreaks count="1" manualBreakCount="1">
    <brk id="13" max="369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F716D-7723-45B9-A8C5-03B120DC88E9}">
  <dimension ref="A1:V209"/>
  <sheetViews>
    <sheetView topLeftCell="A139" zoomScaleNormal="100" workbookViewId="0">
      <selection activeCell="H152" activeCellId="6" sqref="H10 H110 H114 H119 H137 H142 H152"/>
    </sheetView>
  </sheetViews>
  <sheetFormatPr defaultRowHeight="18" customHeight="1"/>
  <cols>
    <col min="1" max="6" width="3.875" customWidth="1"/>
    <col min="7" max="7" width="32.625" customWidth="1"/>
    <col min="8" max="10" width="14.625" customWidth="1"/>
    <col min="11" max="11" width="62.5" customWidth="1"/>
    <col min="12" max="12" width="3.625" customWidth="1"/>
    <col min="13" max="13" width="14.625" customWidth="1"/>
    <col min="14" max="14" width="87.75" bestFit="1" customWidth="1"/>
  </cols>
  <sheetData>
    <row r="1" spans="1:22" ht="18" customHeight="1" thickBot="1">
      <c r="A1" s="1554" t="s">
        <v>1941</v>
      </c>
      <c r="B1" s="690"/>
      <c r="C1" s="690"/>
      <c r="D1" s="1554"/>
      <c r="E1" s="1554"/>
      <c r="F1" s="1554"/>
      <c r="G1" s="1555"/>
      <c r="H1" s="692"/>
      <c r="I1" s="692"/>
      <c r="J1" s="1556"/>
      <c r="K1" s="1557"/>
      <c r="L1" s="1558"/>
      <c r="M1" s="1559" t="s">
        <v>979</v>
      </c>
    </row>
    <row r="2" spans="1:22" ht="18" customHeight="1">
      <c r="A2" s="2451" t="s">
        <v>1224</v>
      </c>
      <c r="B2" s="2453" t="s">
        <v>388</v>
      </c>
      <c r="C2" s="2454"/>
      <c r="D2" s="2455"/>
      <c r="E2" s="2453" t="s">
        <v>389</v>
      </c>
      <c r="F2" s="2454"/>
      <c r="G2" s="2455"/>
      <c r="H2" s="2456" t="s">
        <v>390</v>
      </c>
      <c r="I2" s="2458" t="s">
        <v>391</v>
      </c>
      <c r="J2" s="2376" t="s">
        <v>392</v>
      </c>
      <c r="K2" s="2440" t="s">
        <v>393</v>
      </c>
      <c r="L2" s="2441"/>
      <c r="M2" s="2442"/>
    </row>
    <row r="3" spans="1:22" ht="18" customHeight="1" thickBot="1">
      <c r="A3" s="2452"/>
      <c r="B3" s="1560" t="s">
        <v>394</v>
      </c>
      <c r="C3" s="1560" t="s">
        <v>395</v>
      </c>
      <c r="D3" s="1560" t="s">
        <v>396</v>
      </c>
      <c r="E3" s="1560" t="s">
        <v>397</v>
      </c>
      <c r="F3" s="1560" t="s">
        <v>398</v>
      </c>
      <c r="G3" s="1560" t="s">
        <v>399</v>
      </c>
      <c r="H3" s="2457"/>
      <c r="I3" s="2459"/>
      <c r="J3" s="2398"/>
      <c r="K3" s="2443"/>
      <c r="L3" s="2444"/>
      <c r="M3" s="2445"/>
    </row>
    <row r="4" spans="1:22" ht="18" customHeight="1" thickBot="1">
      <c r="A4" s="2446" t="s">
        <v>982</v>
      </c>
      <c r="B4" s="2447"/>
      <c r="C4" s="2447"/>
      <c r="D4" s="2447"/>
      <c r="E4" s="2447"/>
      <c r="F4" s="2447"/>
      <c r="G4" s="2448"/>
      <c r="H4" s="1853">
        <f>H5+H162</f>
        <v>4609094</v>
      </c>
      <c r="I4" s="1980">
        <v>3808188</v>
      </c>
      <c r="J4" s="696">
        <f>H4-I4</f>
        <v>800906</v>
      </c>
      <c r="K4" s="1561"/>
      <c r="L4" s="1562"/>
      <c r="M4" s="848"/>
    </row>
    <row r="5" spans="1:22" ht="18" customHeight="1">
      <c r="A5" s="1563" t="s">
        <v>131</v>
      </c>
      <c r="B5" s="1564"/>
      <c r="C5" s="1565"/>
      <c r="D5" s="1565"/>
      <c r="E5" s="1565"/>
      <c r="F5" s="1565"/>
      <c r="G5" s="1566"/>
      <c r="H5" s="1934">
        <f>H6</f>
        <v>1808294</v>
      </c>
      <c r="I5" s="1935">
        <v>3600588</v>
      </c>
      <c r="J5" s="682">
        <f>H5-I5</f>
        <v>-1792294</v>
      </c>
      <c r="K5" s="25"/>
      <c r="L5" s="25"/>
      <c r="M5" s="847"/>
    </row>
    <row r="6" spans="1:22" ht="18" customHeight="1">
      <c r="A6" s="1567"/>
      <c r="B6" s="1568" t="s">
        <v>142</v>
      </c>
      <c r="C6" s="1569"/>
      <c r="D6" s="1570"/>
      <c r="E6" s="1570"/>
      <c r="F6" s="1570"/>
      <c r="G6" s="1571"/>
      <c r="H6" s="1919">
        <f>H7</f>
        <v>1808294</v>
      </c>
      <c r="I6" s="1935">
        <v>3600588</v>
      </c>
      <c r="J6" s="1831">
        <f>H6-I6</f>
        <v>-1792294</v>
      </c>
      <c r="K6" s="25"/>
      <c r="L6" s="25"/>
      <c r="M6" s="847"/>
    </row>
    <row r="7" spans="1:22" ht="18" customHeight="1">
      <c r="A7" s="1572"/>
      <c r="B7" s="1573"/>
      <c r="C7" s="1574" t="s">
        <v>333</v>
      </c>
      <c r="D7" s="1570"/>
      <c r="E7" s="1570"/>
      <c r="F7" s="1570"/>
      <c r="G7" s="1571"/>
      <c r="H7" s="684">
        <f>H8+H117</f>
        <v>1808294</v>
      </c>
      <c r="I7" s="1935">
        <v>3600588</v>
      </c>
      <c r="J7" s="1185">
        <f t="shared" ref="J7:J11" si="0">H7-I7</f>
        <v>-1792294</v>
      </c>
      <c r="K7" s="25"/>
      <c r="L7" s="25"/>
      <c r="M7" s="847"/>
    </row>
    <row r="8" spans="1:22" ht="18" customHeight="1">
      <c r="A8" s="1572"/>
      <c r="B8" s="1575"/>
      <c r="C8" s="1576"/>
      <c r="D8" s="1569" t="s">
        <v>1942</v>
      </c>
      <c r="E8" s="1570"/>
      <c r="F8" s="1570"/>
      <c r="G8" s="1571"/>
      <c r="H8" s="1866">
        <f>H9</f>
        <v>525091</v>
      </c>
      <c r="I8" s="1936">
        <v>788376</v>
      </c>
      <c r="J8" s="601">
        <f t="shared" si="0"/>
        <v>-263285</v>
      </c>
      <c r="K8" s="25"/>
      <c r="L8" s="25"/>
      <c r="M8" s="847"/>
    </row>
    <row r="9" spans="1:22" ht="18" customHeight="1">
      <c r="A9" s="703"/>
      <c r="B9" s="1577"/>
      <c r="C9" s="1670"/>
      <c r="D9" s="1578"/>
      <c r="E9" s="1569" t="s">
        <v>987</v>
      </c>
      <c r="F9" s="1579"/>
      <c r="G9" s="1580"/>
      <c r="H9" s="1866">
        <f>H10+H110+H114</f>
        <v>525091</v>
      </c>
      <c r="I9" s="1981">
        <v>788376</v>
      </c>
      <c r="J9" s="601">
        <f t="shared" si="0"/>
        <v>-263285</v>
      </c>
      <c r="K9" s="25"/>
      <c r="L9" s="25"/>
      <c r="M9" s="847"/>
    </row>
    <row r="10" spans="1:22" ht="18" customHeight="1">
      <c r="A10" s="703"/>
      <c r="B10" s="1577"/>
      <c r="C10" s="1670"/>
      <c r="D10" s="1581"/>
      <c r="E10" s="204"/>
      <c r="F10" s="1582" t="s">
        <v>988</v>
      </c>
      <c r="G10" s="1583"/>
      <c r="H10" s="1864">
        <f>H11+H33+H67+H75+H87+H105</f>
        <v>512131</v>
      </c>
      <c r="I10" s="1982">
        <v>775416</v>
      </c>
      <c r="J10" s="597">
        <f t="shared" si="0"/>
        <v>-263285</v>
      </c>
      <c r="K10" s="1062"/>
      <c r="L10" s="25"/>
      <c r="M10" s="847"/>
    </row>
    <row r="11" spans="1:22" ht="18" customHeight="1">
      <c r="A11" s="703"/>
      <c r="B11" s="1577"/>
      <c r="C11" s="1584"/>
      <c r="D11" s="205"/>
      <c r="E11" s="205"/>
      <c r="F11" s="1585"/>
      <c r="G11" s="1585" t="s">
        <v>989</v>
      </c>
      <c r="H11" s="683">
        <f>M11</f>
        <v>26980</v>
      </c>
      <c r="I11" s="1983">
        <v>30220</v>
      </c>
      <c r="J11" s="1826">
        <f t="shared" si="0"/>
        <v>-3240</v>
      </c>
      <c r="K11" s="251" t="s">
        <v>1955</v>
      </c>
      <c r="L11" s="1830"/>
      <c r="M11" s="1827">
        <f>M12+M17+M22+M24+M27+M31</f>
        <v>26980</v>
      </c>
      <c r="N11" s="1696"/>
      <c r="O11" s="1697">
        <f>SUM(O12:O32)</f>
        <v>26980</v>
      </c>
      <c r="P11" s="1698"/>
      <c r="Q11" s="1699"/>
      <c r="R11" s="1700"/>
      <c r="S11" s="1700"/>
      <c r="T11" s="1701"/>
      <c r="U11" s="1702"/>
      <c r="V11" s="1702"/>
    </row>
    <row r="12" spans="1:22" ht="18" customHeight="1">
      <c r="A12" s="703"/>
      <c r="B12" s="1577"/>
      <c r="C12" s="1584"/>
      <c r="D12" s="205"/>
      <c r="E12" s="1585"/>
      <c r="F12" s="1585"/>
      <c r="G12" s="1585"/>
      <c r="H12" s="683"/>
      <c r="I12" s="1983"/>
      <c r="J12" s="1826"/>
      <c r="K12" s="1672" t="s">
        <v>1956</v>
      </c>
      <c r="L12" s="1671"/>
      <c r="M12" s="1824">
        <f>SUM(M13:M16)</f>
        <v>8730</v>
      </c>
      <c r="N12" s="1703" t="s">
        <v>2094</v>
      </c>
      <c r="O12" s="1704">
        <f>SUM(P13:P16)</f>
        <v>8730</v>
      </c>
      <c r="P12" s="1705"/>
      <c r="Q12" s="1706"/>
      <c r="R12" s="1707"/>
      <c r="S12" s="1707"/>
      <c r="T12" s="1701"/>
      <c r="U12" s="1702"/>
      <c r="V12" s="1702"/>
    </row>
    <row r="13" spans="1:22" ht="18" customHeight="1">
      <c r="A13" s="1586"/>
      <c r="B13" s="1587"/>
      <c r="C13" s="1673"/>
      <c r="D13" s="1588"/>
      <c r="E13" s="1589"/>
      <c r="F13" s="1589"/>
      <c r="G13" s="1589"/>
      <c r="H13" s="683"/>
      <c r="I13" s="1984"/>
      <c r="J13" s="1826"/>
      <c r="K13" s="862" t="s">
        <v>1957</v>
      </c>
      <c r="L13" s="1652" t="s">
        <v>242</v>
      </c>
      <c r="M13" s="666">
        <v>230</v>
      </c>
      <c r="N13" s="1708" t="s">
        <v>2095</v>
      </c>
      <c r="O13" s="1704"/>
      <c r="P13" s="1662">
        <v>230</v>
      </c>
      <c r="Q13" s="1709">
        <v>23</v>
      </c>
      <c r="R13" s="1640">
        <v>10</v>
      </c>
      <c r="S13" s="1640">
        <v>1</v>
      </c>
      <c r="T13" s="1710"/>
      <c r="U13" s="1711"/>
      <c r="V13" s="1711"/>
    </row>
    <row r="14" spans="1:22" ht="18" customHeight="1">
      <c r="A14" s="1586"/>
      <c r="B14" s="1587"/>
      <c r="C14" s="1673"/>
      <c r="D14" s="1588"/>
      <c r="E14" s="1589"/>
      <c r="F14" s="1589"/>
      <c r="G14" s="1589"/>
      <c r="H14" s="683"/>
      <c r="I14" s="1984"/>
      <c r="J14" s="1826"/>
      <c r="K14" s="862" t="s">
        <v>1958</v>
      </c>
      <c r="L14" s="1652" t="s">
        <v>242</v>
      </c>
      <c r="M14" s="666">
        <v>1500</v>
      </c>
      <c r="N14" s="1708" t="s">
        <v>2096</v>
      </c>
      <c r="O14" s="1704"/>
      <c r="P14" s="1662">
        <f>Q14*R14*S14</f>
        <v>1500</v>
      </c>
      <c r="Q14" s="1709">
        <v>50</v>
      </c>
      <c r="R14" s="1640">
        <v>10</v>
      </c>
      <c r="S14" s="1640">
        <v>3</v>
      </c>
      <c r="T14" s="1710"/>
      <c r="U14" s="1711"/>
      <c r="V14" s="1711"/>
    </row>
    <row r="15" spans="1:22" ht="18" customHeight="1">
      <c r="A15" s="1586"/>
      <c r="B15" s="1587"/>
      <c r="C15" s="1673"/>
      <c r="D15" s="1588"/>
      <c r="E15" s="1589"/>
      <c r="F15" s="1589"/>
      <c r="G15" s="1589"/>
      <c r="H15" s="683"/>
      <c r="I15" s="1984"/>
      <c r="J15" s="1826"/>
      <c r="K15" s="862" t="s">
        <v>1959</v>
      </c>
      <c r="L15" s="1652" t="s">
        <v>242</v>
      </c>
      <c r="M15" s="666">
        <v>6000</v>
      </c>
      <c r="N15" s="1708" t="s">
        <v>2097</v>
      </c>
      <c r="O15" s="1704"/>
      <c r="P15" s="1662">
        <f>Q15*S15</f>
        <v>6000</v>
      </c>
      <c r="Q15" s="1709">
        <v>500</v>
      </c>
      <c r="R15" s="1640"/>
      <c r="S15" s="1640">
        <v>12</v>
      </c>
      <c r="T15" s="1710"/>
      <c r="U15" s="1711"/>
      <c r="V15" s="1711"/>
    </row>
    <row r="16" spans="1:22" ht="18" customHeight="1">
      <c r="A16" s="1586"/>
      <c r="B16" s="1587"/>
      <c r="C16" s="1673"/>
      <c r="D16" s="1588"/>
      <c r="E16" s="1589"/>
      <c r="F16" s="1589"/>
      <c r="G16" s="1589"/>
      <c r="H16" s="683"/>
      <c r="I16" s="1984"/>
      <c r="J16" s="1826"/>
      <c r="K16" s="1672" t="s">
        <v>1960</v>
      </c>
      <c r="L16" s="1671"/>
      <c r="M16" s="666">
        <v>1000</v>
      </c>
      <c r="N16" s="1708" t="s">
        <v>2098</v>
      </c>
      <c r="O16" s="1704"/>
      <c r="P16" s="1705">
        <f>Q16*R16*S16</f>
        <v>1000</v>
      </c>
      <c r="Q16" s="1706">
        <v>100</v>
      </c>
      <c r="R16" s="1707">
        <v>5</v>
      </c>
      <c r="S16" s="1707">
        <v>2</v>
      </c>
      <c r="T16" s="1710"/>
      <c r="U16" s="1711"/>
      <c r="V16" s="1711"/>
    </row>
    <row r="17" spans="1:22" ht="18" customHeight="1">
      <c r="A17" s="703"/>
      <c r="B17" s="1577"/>
      <c r="C17" s="1584"/>
      <c r="D17" s="205"/>
      <c r="E17" s="1585"/>
      <c r="F17" s="1585"/>
      <c r="G17" s="1585"/>
      <c r="H17" s="683"/>
      <c r="I17" s="1983"/>
      <c r="J17" s="1826"/>
      <c r="K17" s="1672" t="s">
        <v>1961</v>
      </c>
      <c r="L17" s="1671" t="s">
        <v>242</v>
      </c>
      <c r="M17" s="1824">
        <f>SUM(M18:M21)</f>
        <v>5400</v>
      </c>
      <c r="N17" s="1703"/>
      <c r="O17" s="1704">
        <f>SUM(P18:P21)</f>
        <v>5400</v>
      </c>
      <c r="P17" s="1705"/>
      <c r="Q17" s="1706"/>
      <c r="R17" s="1707"/>
      <c r="S17" s="1707"/>
      <c r="T17" s="1701"/>
      <c r="U17" s="1702"/>
      <c r="V17" s="1702"/>
    </row>
    <row r="18" spans="1:22" ht="18" customHeight="1">
      <c r="A18" s="703"/>
      <c r="B18" s="1577"/>
      <c r="C18" s="1584"/>
      <c r="D18" s="205"/>
      <c r="E18" s="1585"/>
      <c r="F18" s="1585"/>
      <c r="G18" s="1585"/>
      <c r="H18" s="683"/>
      <c r="I18" s="1983"/>
      <c r="J18" s="1826"/>
      <c r="K18" s="1672" t="s">
        <v>1962</v>
      </c>
      <c r="L18" s="1671" t="s">
        <v>242</v>
      </c>
      <c r="M18" s="666">
        <v>3000</v>
      </c>
      <c r="N18" s="1703" t="s">
        <v>2099</v>
      </c>
      <c r="O18" s="1704"/>
      <c r="P18" s="1705">
        <f>Q18*R18</f>
        <v>3000</v>
      </c>
      <c r="Q18" s="1706">
        <v>3000</v>
      </c>
      <c r="R18" s="1707">
        <v>1</v>
      </c>
      <c r="S18" s="1707">
        <v>1</v>
      </c>
      <c r="T18" s="1701"/>
      <c r="U18" s="1702"/>
      <c r="V18" s="1702"/>
    </row>
    <row r="19" spans="1:22" ht="18" customHeight="1">
      <c r="A19" s="703"/>
      <c r="B19" s="1577"/>
      <c r="C19" s="1584"/>
      <c r="D19" s="205"/>
      <c r="E19" s="1585"/>
      <c r="F19" s="1585"/>
      <c r="G19" s="1585"/>
      <c r="H19" s="683"/>
      <c r="I19" s="1983"/>
      <c r="J19" s="1826"/>
      <c r="K19" s="1672" t="s">
        <v>1963</v>
      </c>
      <c r="L19" s="1671" t="s">
        <v>242</v>
      </c>
      <c r="M19" s="666">
        <v>400</v>
      </c>
      <c r="N19" s="1708" t="s">
        <v>2100</v>
      </c>
      <c r="O19" s="1704"/>
      <c r="P19" s="1705">
        <v>400</v>
      </c>
      <c r="Q19" s="1706">
        <v>400</v>
      </c>
      <c r="R19" s="1707">
        <v>1</v>
      </c>
      <c r="S19" s="1707">
        <v>1</v>
      </c>
      <c r="T19" s="1701"/>
      <c r="U19" s="1702"/>
      <c r="V19" s="1702"/>
    </row>
    <row r="20" spans="1:22" ht="18" customHeight="1">
      <c r="A20" s="703"/>
      <c r="B20" s="1577"/>
      <c r="C20" s="1584"/>
      <c r="D20" s="205"/>
      <c r="E20" s="1585"/>
      <c r="F20" s="1585"/>
      <c r="G20" s="1585"/>
      <c r="H20" s="683"/>
      <c r="I20" s="1983"/>
      <c r="J20" s="1826"/>
      <c r="K20" s="862" t="s">
        <v>1964</v>
      </c>
      <c r="L20" s="1652" t="s">
        <v>242</v>
      </c>
      <c r="M20" s="666">
        <v>1000</v>
      </c>
      <c r="N20" s="1708" t="s">
        <v>2101</v>
      </c>
      <c r="O20" s="1704"/>
      <c r="P20" s="1705">
        <v>1000</v>
      </c>
      <c r="Q20" s="1706">
        <v>200</v>
      </c>
      <c r="R20" s="1707">
        <v>5</v>
      </c>
      <c r="S20" s="1707">
        <v>1</v>
      </c>
      <c r="T20" s="1701"/>
      <c r="U20" s="1702"/>
      <c r="V20" s="1702"/>
    </row>
    <row r="21" spans="1:22" ht="18" customHeight="1">
      <c r="A21" s="703"/>
      <c r="B21" s="1577"/>
      <c r="C21" s="1584"/>
      <c r="D21" s="205"/>
      <c r="E21" s="1585"/>
      <c r="F21" s="1585"/>
      <c r="G21" s="1585"/>
      <c r="H21" s="683"/>
      <c r="I21" s="1983"/>
      <c r="J21" s="1826"/>
      <c r="K21" s="862" t="s">
        <v>1965</v>
      </c>
      <c r="L21" s="1674" t="s">
        <v>242</v>
      </c>
      <c r="M21" s="666">
        <v>1000</v>
      </c>
      <c r="N21" s="1708" t="s">
        <v>2102</v>
      </c>
      <c r="O21" s="1704"/>
      <c r="P21" s="1662">
        <f>Q21*R21</f>
        <v>1000</v>
      </c>
      <c r="Q21" s="1709">
        <v>500</v>
      </c>
      <c r="R21" s="1640">
        <v>2</v>
      </c>
      <c r="S21" s="1640">
        <v>1</v>
      </c>
      <c r="T21" s="1701"/>
      <c r="U21" s="1702"/>
      <c r="V21" s="1702"/>
    </row>
    <row r="22" spans="1:22" ht="18" customHeight="1">
      <c r="A22" s="703"/>
      <c r="B22" s="1577"/>
      <c r="C22" s="1584"/>
      <c r="D22" s="205"/>
      <c r="E22" s="1585"/>
      <c r="F22" s="1585"/>
      <c r="G22" s="1585"/>
      <c r="H22" s="683"/>
      <c r="I22" s="1983"/>
      <c r="J22" s="1826"/>
      <c r="K22" s="1672" t="s">
        <v>1966</v>
      </c>
      <c r="L22" s="1671"/>
      <c r="M22" s="1824">
        <f>M23</f>
        <v>350</v>
      </c>
      <c r="N22" s="1703" t="s">
        <v>2103</v>
      </c>
      <c r="O22" s="1704">
        <f>SUM(P23:P23)</f>
        <v>350</v>
      </c>
      <c r="P22" s="1662"/>
      <c r="Q22" s="1706"/>
      <c r="R22" s="1707"/>
      <c r="S22" s="1707"/>
      <c r="T22" s="1701"/>
      <c r="U22" s="1702"/>
      <c r="V22" s="1702"/>
    </row>
    <row r="23" spans="1:22" ht="18" customHeight="1">
      <c r="A23" s="703"/>
      <c r="B23" s="1577"/>
      <c r="C23" s="1584"/>
      <c r="D23" s="205"/>
      <c r="E23" s="1585"/>
      <c r="F23" s="1585"/>
      <c r="G23" s="1585"/>
      <c r="H23" s="683"/>
      <c r="I23" s="1983"/>
      <c r="J23" s="1826"/>
      <c r="K23" s="1672" t="s">
        <v>1967</v>
      </c>
      <c r="L23" s="1671" t="s">
        <v>242</v>
      </c>
      <c r="M23" s="666">
        <v>350</v>
      </c>
      <c r="N23" s="1708" t="s">
        <v>2104</v>
      </c>
      <c r="O23" s="1704"/>
      <c r="P23" s="1662">
        <f>Q23*R23</f>
        <v>350</v>
      </c>
      <c r="Q23" s="1706">
        <v>50</v>
      </c>
      <c r="R23" s="1707">
        <v>7</v>
      </c>
      <c r="S23" s="1707">
        <v>1</v>
      </c>
      <c r="T23" s="1701"/>
      <c r="U23" s="1702"/>
      <c r="V23" s="1702"/>
    </row>
    <row r="24" spans="1:22" ht="18" customHeight="1">
      <c r="A24" s="703"/>
      <c r="B24" s="1577"/>
      <c r="C24" s="1584"/>
      <c r="D24" s="205"/>
      <c r="E24" s="1585"/>
      <c r="F24" s="1585"/>
      <c r="G24" s="1585"/>
      <c r="H24" s="683"/>
      <c r="I24" s="1983"/>
      <c r="J24" s="1826"/>
      <c r="K24" s="1672" t="s">
        <v>1968</v>
      </c>
      <c r="L24" s="1675"/>
      <c r="M24" s="1824">
        <f>SUM(M25:M26)</f>
        <v>5500</v>
      </c>
      <c r="N24" s="1703" t="s">
        <v>2105</v>
      </c>
      <c r="O24" s="1704">
        <f>SUM(P25:P26)</f>
        <v>5500</v>
      </c>
      <c r="P24" s="1662"/>
      <c r="Q24" s="1706"/>
      <c r="R24" s="1707"/>
      <c r="S24" s="1707"/>
      <c r="T24" s="1701"/>
      <c r="U24" s="1702"/>
      <c r="V24" s="1702"/>
    </row>
    <row r="25" spans="1:22" ht="18" customHeight="1">
      <c r="A25" s="703"/>
      <c r="B25" s="1577"/>
      <c r="C25" s="1584"/>
      <c r="D25" s="205"/>
      <c r="E25" s="1585"/>
      <c r="F25" s="1585"/>
      <c r="G25" s="1585"/>
      <c r="H25" s="683"/>
      <c r="I25" s="1983"/>
      <c r="J25" s="1826"/>
      <c r="K25" s="1672" t="s">
        <v>1969</v>
      </c>
      <c r="L25" s="1671" t="s">
        <v>242</v>
      </c>
      <c r="M25" s="666">
        <v>4500</v>
      </c>
      <c r="N25" s="1708" t="s">
        <v>2106</v>
      </c>
      <c r="O25" s="1704"/>
      <c r="P25" s="1662">
        <f>Q25*R25</f>
        <v>4500</v>
      </c>
      <c r="Q25" s="1706">
        <v>15</v>
      </c>
      <c r="R25" s="1707">
        <v>300</v>
      </c>
      <c r="S25" s="1707">
        <v>1</v>
      </c>
      <c r="T25" s="1701"/>
      <c r="U25" s="1702"/>
      <c r="V25" s="1702"/>
    </row>
    <row r="26" spans="1:22" ht="18" customHeight="1">
      <c r="A26" s="703"/>
      <c r="B26" s="1577"/>
      <c r="C26" s="1584"/>
      <c r="D26" s="205"/>
      <c r="E26" s="1585"/>
      <c r="F26" s="1585"/>
      <c r="G26" s="1585"/>
      <c r="H26" s="683"/>
      <c r="I26" s="1983"/>
      <c r="J26" s="1826"/>
      <c r="K26" s="1672" t="s">
        <v>1970</v>
      </c>
      <c r="L26" s="1671" t="s">
        <v>242</v>
      </c>
      <c r="M26" s="666">
        <v>1000</v>
      </c>
      <c r="N26" s="1708" t="s">
        <v>2107</v>
      </c>
      <c r="O26" s="1704"/>
      <c r="P26" s="1705">
        <f>Q26*R26*S26</f>
        <v>1000</v>
      </c>
      <c r="Q26" s="1706">
        <v>1000</v>
      </c>
      <c r="R26" s="1707">
        <v>1</v>
      </c>
      <c r="S26" s="1707">
        <v>1</v>
      </c>
      <c r="T26" s="1701"/>
      <c r="U26" s="1702"/>
      <c r="V26" s="1702"/>
    </row>
    <row r="27" spans="1:22" ht="18" customHeight="1">
      <c r="A27" s="703"/>
      <c r="B27" s="1577"/>
      <c r="C27" s="1584"/>
      <c r="D27" s="205"/>
      <c r="E27" s="1585"/>
      <c r="F27" s="1585"/>
      <c r="G27" s="1585"/>
      <c r="H27" s="683"/>
      <c r="I27" s="1983"/>
      <c r="J27" s="1826"/>
      <c r="K27" s="1672" t="s">
        <v>1971</v>
      </c>
      <c r="L27" s="1671"/>
      <c r="M27" s="1824">
        <f>SUM(M28:M30)</f>
        <v>5000</v>
      </c>
      <c r="N27" s="1703" t="s">
        <v>2108</v>
      </c>
      <c r="O27" s="1704">
        <f>SUM(P28:P30)</f>
        <v>5000</v>
      </c>
      <c r="P27" s="1705"/>
      <c r="Q27" s="1706"/>
      <c r="R27" s="1707"/>
      <c r="S27" s="1707"/>
      <c r="T27" s="1701"/>
      <c r="U27" s="1702"/>
      <c r="V27" s="1702"/>
    </row>
    <row r="28" spans="1:22" ht="18" customHeight="1">
      <c r="A28" s="1586"/>
      <c r="B28" s="1587"/>
      <c r="C28" s="1673"/>
      <c r="D28" s="1588"/>
      <c r="E28" s="1589"/>
      <c r="F28" s="1589"/>
      <c r="G28" s="1589"/>
      <c r="H28" s="1862"/>
      <c r="I28" s="1985"/>
      <c r="J28" s="1826"/>
      <c r="K28" s="862" t="s">
        <v>1972</v>
      </c>
      <c r="L28" s="1652" t="s">
        <v>242</v>
      </c>
      <c r="M28" s="666">
        <v>1000</v>
      </c>
      <c r="N28" s="1708" t="s">
        <v>2109</v>
      </c>
      <c r="O28" s="1704"/>
      <c r="P28" s="1662">
        <f>Q28*S28</f>
        <v>1000</v>
      </c>
      <c r="Q28" s="1709">
        <v>1000</v>
      </c>
      <c r="R28" s="1640"/>
      <c r="S28" s="1640">
        <v>1</v>
      </c>
      <c r="T28" s="1710"/>
      <c r="U28" s="1711"/>
      <c r="V28" s="1711"/>
    </row>
    <row r="29" spans="1:22" ht="18" customHeight="1">
      <c r="A29" s="1586"/>
      <c r="B29" s="1587"/>
      <c r="C29" s="1673"/>
      <c r="D29" s="1588"/>
      <c r="E29" s="1589"/>
      <c r="F29" s="1589"/>
      <c r="G29" s="1589"/>
      <c r="H29" s="1862"/>
      <c r="I29" s="1985"/>
      <c r="J29" s="1826"/>
      <c r="K29" s="1637" t="s">
        <v>1973</v>
      </c>
      <c r="L29" s="1674" t="s">
        <v>242</v>
      </c>
      <c r="M29" s="666">
        <v>1000</v>
      </c>
      <c r="N29" s="1712" t="s">
        <v>2110</v>
      </c>
      <c r="O29" s="1704"/>
      <c r="P29" s="1705">
        <f>Q29*R29</f>
        <v>1000</v>
      </c>
      <c r="Q29" s="1706">
        <v>1000</v>
      </c>
      <c r="R29" s="1713">
        <v>1</v>
      </c>
      <c r="S29" s="1707"/>
      <c r="T29" s="1710"/>
      <c r="U29" s="1711"/>
      <c r="V29" s="1711"/>
    </row>
    <row r="30" spans="1:22" ht="18" customHeight="1">
      <c r="A30" s="1586"/>
      <c r="B30" s="1587"/>
      <c r="C30" s="1673"/>
      <c r="D30" s="1588"/>
      <c r="E30" s="1589"/>
      <c r="F30" s="1589"/>
      <c r="G30" s="1589"/>
      <c r="H30" s="1862"/>
      <c r="I30" s="1985"/>
      <c r="J30" s="1826"/>
      <c r="K30" s="1637" t="s">
        <v>1974</v>
      </c>
      <c r="L30" s="1674" t="s">
        <v>242</v>
      </c>
      <c r="M30" s="666">
        <v>3000</v>
      </c>
      <c r="N30" s="1712" t="s">
        <v>2111</v>
      </c>
      <c r="O30" s="1704"/>
      <c r="P30" s="1705">
        <f>Q30*R30</f>
        <v>3000</v>
      </c>
      <c r="Q30" s="1706">
        <v>1500</v>
      </c>
      <c r="R30" s="1713">
        <v>2</v>
      </c>
      <c r="S30" s="1707"/>
      <c r="T30" s="1710"/>
      <c r="U30" s="1711"/>
      <c r="V30" s="1711"/>
    </row>
    <row r="31" spans="1:22" ht="18" customHeight="1">
      <c r="A31" s="703"/>
      <c r="B31" s="1577"/>
      <c r="C31" s="1584"/>
      <c r="D31" s="205"/>
      <c r="E31" s="1585"/>
      <c r="F31" s="1585"/>
      <c r="G31" s="1585"/>
      <c r="H31" s="683"/>
      <c r="I31" s="1983"/>
      <c r="J31" s="1826"/>
      <c r="K31" s="1672" t="s">
        <v>1975</v>
      </c>
      <c r="L31" s="1671"/>
      <c r="M31" s="1824">
        <f>M32</f>
        <v>2000</v>
      </c>
      <c r="N31" s="1703" t="s">
        <v>2112</v>
      </c>
      <c r="O31" s="1714">
        <f>SUM(P32:P32)</f>
        <v>2000</v>
      </c>
      <c r="P31" s="1705"/>
      <c r="Q31" s="1706"/>
      <c r="R31" s="1707"/>
      <c r="S31" s="1707"/>
      <c r="T31" s="1701"/>
      <c r="U31" s="1702"/>
      <c r="V31" s="1702"/>
    </row>
    <row r="32" spans="1:22" ht="18" customHeight="1">
      <c r="A32" s="703"/>
      <c r="B32" s="1577"/>
      <c r="C32" s="1584"/>
      <c r="D32" s="205"/>
      <c r="E32" s="1585"/>
      <c r="F32" s="1585"/>
      <c r="G32" s="1585"/>
      <c r="H32" s="683"/>
      <c r="I32" s="1983"/>
      <c r="J32" s="1826"/>
      <c r="K32" s="1672" t="s">
        <v>1976</v>
      </c>
      <c r="L32" s="1671" t="s">
        <v>242</v>
      </c>
      <c r="M32" s="1078">
        <v>2000</v>
      </c>
      <c r="N32" s="1715" t="s">
        <v>2113</v>
      </c>
      <c r="O32" s="1714"/>
      <c r="P32" s="1705">
        <f>Q32*R32*S32</f>
        <v>2000</v>
      </c>
      <c r="Q32" s="1706">
        <v>500</v>
      </c>
      <c r="R32" s="1707">
        <v>1</v>
      </c>
      <c r="S32" s="1707">
        <v>4</v>
      </c>
      <c r="T32" s="1701"/>
      <c r="U32" s="1702"/>
      <c r="V32" s="1702"/>
    </row>
    <row r="33" spans="1:22" ht="18" customHeight="1">
      <c r="A33" s="703"/>
      <c r="B33" s="1577"/>
      <c r="C33" s="1584"/>
      <c r="D33" s="1578"/>
      <c r="E33" s="1590"/>
      <c r="F33" s="1578"/>
      <c r="G33" s="1591" t="s">
        <v>990</v>
      </c>
      <c r="H33" s="1876">
        <f>M33</f>
        <v>276520</v>
      </c>
      <c r="I33" s="1986">
        <v>514560</v>
      </c>
      <c r="J33" s="594">
        <f>H33-I33</f>
        <v>-238040</v>
      </c>
      <c r="K33" s="1641" t="s">
        <v>990</v>
      </c>
      <c r="L33" s="1635"/>
      <c r="M33" s="1824">
        <f>M34+M51+M57+M63+M66</f>
        <v>276520</v>
      </c>
      <c r="N33" s="1716"/>
      <c r="O33" s="228">
        <f>SUM(O34:O66)</f>
        <v>230680</v>
      </c>
      <c r="P33" s="1705"/>
      <c r="Q33" s="1706"/>
      <c r="R33" s="1707"/>
      <c r="S33" s="1707"/>
      <c r="T33" s="1701"/>
      <c r="U33" s="1702"/>
      <c r="V33" s="1702"/>
    </row>
    <row r="34" spans="1:22" ht="18" customHeight="1">
      <c r="A34" s="703"/>
      <c r="B34" s="1577"/>
      <c r="C34" s="1584"/>
      <c r="D34" s="1578"/>
      <c r="E34" s="1590"/>
      <c r="F34" s="1590"/>
      <c r="G34" s="1578"/>
      <c r="H34" s="683"/>
      <c r="I34" s="1984"/>
      <c r="J34" s="590"/>
      <c r="K34" s="1637" t="s">
        <v>1977</v>
      </c>
      <c r="L34" s="1652"/>
      <c r="M34" s="1824">
        <f>SUM(M35:M50)</f>
        <v>122020</v>
      </c>
      <c r="N34" s="1703" t="s">
        <v>2114</v>
      </c>
      <c r="O34" s="228">
        <f>SUM(P35:P42)</f>
        <v>84920</v>
      </c>
      <c r="P34" s="1705"/>
      <c r="Q34" s="1706"/>
      <c r="R34" s="1707"/>
      <c r="S34" s="1707"/>
      <c r="T34" s="1701"/>
      <c r="U34" s="1702"/>
      <c r="V34" s="1702"/>
    </row>
    <row r="35" spans="1:22" ht="18" customHeight="1">
      <c r="A35" s="703"/>
      <c r="B35" s="1577"/>
      <c r="C35" s="1584"/>
      <c r="D35" s="1578"/>
      <c r="E35" s="1590"/>
      <c r="F35" s="1590"/>
      <c r="G35" s="1578"/>
      <c r="H35" s="683"/>
      <c r="I35" s="1984"/>
      <c r="J35" s="590"/>
      <c r="K35" s="1636" t="s">
        <v>1978</v>
      </c>
      <c r="L35" s="1676" t="s">
        <v>242</v>
      </c>
      <c r="M35" s="666">
        <v>3600</v>
      </c>
      <c r="N35" s="1717" t="s">
        <v>2115</v>
      </c>
      <c r="O35" s="1704"/>
      <c r="P35" s="1705">
        <f t="shared" ref="P35:P49" si="1">Q35*S35*0.5</f>
        <v>3600</v>
      </c>
      <c r="Q35" s="1706">
        <v>3600</v>
      </c>
      <c r="R35" s="1707"/>
      <c r="S35" s="1707">
        <v>2</v>
      </c>
      <c r="T35" s="1701"/>
      <c r="U35" s="1702"/>
      <c r="V35" s="1702"/>
    </row>
    <row r="36" spans="1:22" ht="18" customHeight="1">
      <c r="A36" s="703"/>
      <c r="B36" s="1577"/>
      <c r="C36" s="1584"/>
      <c r="D36" s="1578"/>
      <c r="E36" s="1590"/>
      <c r="F36" s="1590"/>
      <c r="G36" s="1578"/>
      <c r="H36" s="683"/>
      <c r="I36" s="1984"/>
      <c r="J36" s="590"/>
      <c r="K36" s="1637" t="s">
        <v>1979</v>
      </c>
      <c r="L36" s="1676" t="s">
        <v>242</v>
      </c>
      <c r="M36" s="666">
        <v>2000</v>
      </c>
      <c r="N36" s="1718" t="s">
        <v>2116</v>
      </c>
      <c r="O36" s="1704"/>
      <c r="P36" s="1705">
        <f t="shared" si="1"/>
        <v>2000</v>
      </c>
      <c r="Q36" s="1706">
        <v>2000</v>
      </c>
      <c r="R36" s="1707"/>
      <c r="S36" s="1707">
        <v>2</v>
      </c>
      <c r="T36" s="1701"/>
      <c r="U36" s="1702"/>
      <c r="V36" s="1702"/>
    </row>
    <row r="37" spans="1:22" ht="18" customHeight="1">
      <c r="A37" s="703"/>
      <c r="B37" s="1577"/>
      <c r="C37" s="1584"/>
      <c r="D37" s="1578"/>
      <c r="E37" s="1590"/>
      <c r="F37" s="1590"/>
      <c r="G37" s="1578"/>
      <c r="H37" s="683"/>
      <c r="I37" s="1984"/>
      <c r="J37" s="590"/>
      <c r="K37" s="1637" t="s">
        <v>2227</v>
      </c>
      <c r="L37" s="1676" t="s">
        <v>242</v>
      </c>
      <c r="M37" s="666">
        <v>5000</v>
      </c>
      <c r="N37" s="1718" t="s">
        <v>2117</v>
      </c>
      <c r="O37" s="1704"/>
      <c r="P37" s="1705">
        <f t="shared" si="1"/>
        <v>10000</v>
      </c>
      <c r="Q37" s="1706">
        <v>20000</v>
      </c>
      <c r="R37" s="1707"/>
      <c r="S37" s="1707">
        <v>1</v>
      </c>
      <c r="T37" s="1701"/>
      <c r="U37" s="1702"/>
      <c r="V37" s="1702"/>
    </row>
    <row r="38" spans="1:22" ht="18" customHeight="1">
      <c r="A38" s="703"/>
      <c r="B38" s="1577"/>
      <c r="C38" s="1584"/>
      <c r="D38" s="1578"/>
      <c r="E38" s="1590"/>
      <c r="F38" s="1590"/>
      <c r="G38" s="1578"/>
      <c r="H38" s="683"/>
      <c r="I38" s="1984"/>
      <c r="J38" s="590"/>
      <c r="K38" s="862" t="s">
        <v>1980</v>
      </c>
      <c r="L38" s="1652" t="s">
        <v>242</v>
      </c>
      <c r="M38" s="666">
        <v>19550</v>
      </c>
      <c r="N38" s="1708" t="s">
        <v>2118</v>
      </c>
      <c r="O38" s="1704"/>
      <c r="P38" s="1705">
        <f t="shared" si="1"/>
        <v>19550</v>
      </c>
      <c r="Q38" s="1709">
        <v>39100</v>
      </c>
      <c r="R38" s="1640"/>
      <c r="S38" s="1640">
        <v>1</v>
      </c>
      <c r="T38" s="1701"/>
      <c r="U38" s="1702"/>
      <c r="V38" s="1702"/>
    </row>
    <row r="39" spans="1:22" ht="18" customHeight="1">
      <c r="A39" s="703"/>
      <c r="B39" s="1577"/>
      <c r="C39" s="1584"/>
      <c r="D39" s="1578"/>
      <c r="E39" s="1590"/>
      <c r="F39" s="1590"/>
      <c r="G39" s="1578"/>
      <c r="H39" s="683"/>
      <c r="I39" s="1984"/>
      <c r="J39" s="590"/>
      <c r="K39" s="862" t="s">
        <v>1981</v>
      </c>
      <c r="L39" s="1652" t="s">
        <v>242</v>
      </c>
      <c r="M39" s="666">
        <v>13450</v>
      </c>
      <c r="N39" s="1708" t="s">
        <v>2119</v>
      </c>
      <c r="O39" s="1704"/>
      <c r="P39" s="1705">
        <f t="shared" si="1"/>
        <v>13450</v>
      </c>
      <c r="Q39" s="1706">
        <v>26900</v>
      </c>
      <c r="R39" s="1707"/>
      <c r="S39" s="1707">
        <v>1</v>
      </c>
      <c r="T39" s="1701"/>
      <c r="U39" s="1702"/>
      <c r="V39" s="1702"/>
    </row>
    <row r="40" spans="1:22" ht="18" customHeight="1">
      <c r="A40" s="703"/>
      <c r="B40" s="1577"/>
      <c r="C40" s="1584"/>
      <c r="D40" s="1578"/>
      <c r="E40" s="1590"/>
      <c r="F40" s="1590"/>
      <c r="G40" s="1578"/>
      <c r="H40" s="683"/>
      <c r="I40" s="1984"/>
      <c r="J40" s="590"/>
      <c r="K40" s="862" t="s">
        <v>1982</v>
      </c>
      <c r="L40" s="1652" t="s">
        <v>242</v>
      </c>
      <c r="M40" s="666">
        <v>12800</v>
      </c>
      <c r="N40" s="1708" t="s">
        <v>2120</v>
      </c>
      <c r="O40" s="1704"/>
      <c r="P40" s="1705">
        <f t="shared" si="1"/>
        <v>12800</v>
      </c>
      <c r="Q40" s="1706">
        <v>800</v>
      </c>
      <c r="R40" s="1707"/>
      <c r="S40" s="1707">
        <v>32</v>
      </c>
      <c r="T40" s="1701"/>
      <c r="U40" s="1702"/>
      <c r="V40" s="1702"/>
    </row>
    <row r="41" spans="1:22" ht="18" customHeight="1">
      <c r="A41" s="703"/>
      <c r="B41" s="1577"/>
      <c r="C41" s="1584"/>
      <c r="D41" s="1578"/>
      <c r="E41" s="1590"/>
      <c r="F41" s="1590"/>
      <c r="G41" s="1578"/>
      <c r="H41" s="683"/>
      <c r="I41" s="1984"/>
      <c r="J41" s="590"/>
      <c r="K41" s="862" t="s">
        <v>1983</v>
      </c>
      <c r="L41" s="1652" t="s">
        <v>242</v>
      </c>
      <c r="M41" s="666">
        <v>21900</v>
      </c>
      <c r="N41" s="1708" t="s">
        <v>2121</v>
      </c>
      <c r="O41" s="1704"/>
      <c r="P41" s="1705">
        <f t="shared" si="1"/>
        <v>21900</v>
      </c>
      <c r="Q41" s="1706">
        <v>3650</v>
      </c>
      <c r="R41" s="1707"/>
      <c r="S41" s="1707">
        <v>12</v>
      </c>
      <c r="T41" s="1701"/>
      <c r="U41" s="1702"/>
      <c r="V41" s="1702"/>
    </row>
    <row r="42" spans="1:22" ht="18" customHeight="1">
      <c r="A42" s="703"/>
      <c r="B42" s="1577"/>
      <c r="C42" s="1584"/>
      <c r="D42" s="1578"/>
      <c r="E42" s="1590"/>
      <c r="F42" s="1590"/>
      <c r="G42" s="1578"/>
      <c r="H42" s="683"/>
      <c r="I42" s="1984"/>
      <c r="J42" s="590"/>
      <c r="K42" s="862" t="s">
        <v>1984</v>
      </c>
      <c r="L42" s="1652" t="s">
        <v>242</v>
      </c>
      <c r="M42" s="666">
        <v>1620</v>
      </c>
      <c r="N42" s="1708" t="s">
        <v>2122</v>
      </c>
      <c r="O42" s="1704"/>
      <c r="P42" s="1705">
        <f t="shared" si="1"/>
        <v>1620</v>
      </c>
      <c r="Q42" s="1706">
        <v>270</v>
      </c>
      <c r="R42" s="1707"/>
      <c r="S42" s="1707">
        <v>12</v>
      </c>
      <c r="T42" s="1701"/>
      <c r="U42" s="1702"/>
      <c r="V42" s="1702"/>
    </row>
    <row r="43" spans="1:22" ht="18" customHeight="1">
      <c r="A43" s="703"/>
      <c r="B43" s="1577"/>
      <c r="C43" s="1584"/>
      <c r="D43" s="1578"/>
      <c r="E43" s="1590"/>
      <c r="F43" s="1590"/>
      <c r="G43" s="1578"/>
      <c r="H43" s="683"/>
      <c r="I43" s="1984"/>
      <c r="J43" s="590"/>
      <c r="K43" s="1672" t="s">
        <v>1985</v>
      </c>
      <c r="L43" s="1652" t="s">
        <v>242</v>
      </c>
      <c r="M43" s="666">
        <v>10000</v>
      </c>
      <c r="N43" s="1718" t="s">
        <v>2123</v>
      </c>
      <c r="O43" s="1704"/>
      <c r="P43" s="1705">
        <f t="shared" si="1"/>
        <v>10000</v>
      </c>
      <c r="Q43" s="1706">
        <v>20000</v>
      </c>
      <c r="R43" s="1707"/>
      <c r="S43" s="1707">
        <v>1</v>
      </c>
      <c r="T43" s="1701"/>
      <c r="U43" s="1702"/>
      <c r="V43" s="1702"/>
    </row>
    <row r="44" spans="1:22" ht="18" customHeight="1">
      <c r="A44" s="703"/>
      <c r="B44" s="1577"/>
      <c r="C44" s="1584"/>
      <c r="D44" s="1578"/>
      <c r="E44" s="1590"/>
      <c r="F44" s="1590"/>
      <c r="G44" s="1578"/>
      <c r="H44" s="683"/>
      <c r="I44" s="1984"/>
      <c r="J44" s="590"/>
      <c r="K44" s="1672" t="s">
        <v>1986</v>
      </c>
      <c r="L44" s="1652" t="s">
        <v>242</v>
      </c>
      <c r="M44" s="666">
        <v>7500</v>
      </c>
      <c r="N44" s="1708" t="s">
        <v>2124</v>
      </c>
      <c r="O44" s="1704"/>
      <c r="P44" s="1705">
        <f t="shared" si="1"/>
        <v>7500</v>
      </c>
      <c r="Q44" s="1706">
        <v>15000</v>
      </c>
      <c r="R44" s="1707"/>
      <c r="S44" s="1707">
        <v>1</v>
      </c>
      <c r="T44" s="1701"/>
      <c r="U44" s="1702"/>
      <c r="V44" s="1702"/>
    </row>
    <row r="45" spans="1:22" ht="18" customHeight="1">
      <c r="A45" s="703"/>
      <c r="B45" s="1577"/>
      <c r="C45" s="1584"/>
      <c r="D45" s="1578"/>
      <c r="E45" s="1590"/>
      <c r="F45" s="1590"/>
      <c r="G45" s="1578"/>
      <c r="H45" s="683"/>
      <c r="I45" s="1984"/>
      <c r="J45" s="590"/>
      <c r="K45" s="1638" t="s">
        <v>1987</v>
      </c>
      <c r="L45" s="1652" t="s">
        <v>242</v>
      </c>
      <c r="M45" s="666">
        <v>6900</v>
      </c>
      <c r="N45" s="1717" t="s">
        <v>2125</v>
      </c>
      <c r="O45" s="1704"/>
      <c r="P45" s="1705">
        <f t="shared" si="1"/>
        <v>6900</v>
      </c>
      <c r="Q45" s="1706">
        <v>2300</v>
      </c>
      <c r="R45" s="1707"/>
      <c r="S45" s="1707">
        <v>6</v>
      </c>
      <c r="T45" s="1701"/>
      <c r="U45" s="1702"/>
      <c r="V45" s="1702"/>
    </row>
    <row r="46" spans="1:22" ht="18" customHeight="1">
      <c r="A46" s="703"/>
      <c r="B46" s="1577"/>
      <c r="C46" s="1584"/>
      <c r="D46" s="1578"/>
      <c r="E46" s="1590"/>
      <c r="F46" s="1590"/>
      <c r="G46" s="1578"/>
      <c r="H46" s="683"/>
      <c r="I46" s="1984"/>
      <c r="J46" s="590"/>
      <c r="K46" s="1638" t="s">
        <v>1988</v>
      </c>
      <c r="L46" s="1652" t="s">
        <v>242</v>
      </c>
      <c r="M46" s="666">
        <v>10000</v>
      </c>
      <c r="N46" s="1717" t="s">
        <v>2126</v>
      </c>
      <c r="O46" s="1704"/>
      <c r="P46" s="1705">
        <f t="shared" si="1"/>
        <v>10000</v>
      </c>
      <c r="Q46" s="1706">
        <v>20000</v>
      </c>
      <c r="R46" s="1707"/>
      <c r="S46" s="1707">
        <v>1</v>
      </c>
      <c r="T46" s="1701"/>
      <c r="U46" s="1702"/>
      <c r="V46" s="1702"/>
    </row>
    <row r="47" spans="1:22" ht="18" customHeight="1">
      <c r="A47" s="703"/>
      <c r="B47" s="1577"/>
      <c r="C47" s="1584"/>
      <c r="D47" s="1578"/>
      <c r="E47" s="1590"/>
      <c r="F47" s="1590"/>
      <c r="G47" s="1578"/>
      <c r="H47" s="683"/>
      <c r="I47" s="1984"/>
      <c r="J47" s="590"/>
      <c r="K47" s="1672" t="s">
        <v>1989</v>
      </c>
      <c r="L47" s="1652" t="s">
        <v>242</v>
      </c>
      <c r="M47" s="666">
        <v>800</v>
      </c>
      <c r="N47" s="1708" t="s">
        <v>2127</v>
      </c>
      <c r="O47" s="1704"/>
      <c r="P47" s="1705">
        <f t="shared" si="1"/>
        <v>800</v>
      </c>
      <c r="Q47" s="1706">
        <v>800</v>
      </c>
      <c r="R47" s="1707"/>
      <c r="S47" s="1707">
        <v>2</v>
      </c>
      <c r="T47" s="1701"/>
      <c r="U47" s="1702"/>
      <c r="V47" s="1702"/>
    </row>
    <row r="48" spans="1:22" ht="18" customHeight="1">
      <c r="A48" s="703"/>
      <c r="B48" s="1577"/>
      <c r="C48" s="1584"/>
      <c r="D48" s="1578"/>
      <c r="E48" s="1590"/>
      <c r="F48" s="1590"/>
      <c r="G48" s="1578"/>
      <c r="H48" s="683"/>
      <c r="I48" s="1984"/>
      <c r="J48" s="590"/>
      <c r="K48" s="1672" t="s">
        <v>1990</v>
      </c>
      <c r="L48" s="1652" t="s">
        <v>242</v>
      </c>
      <c r="M48" s="666">
        <v>4500</v>
      </c>
      <c r="N48" s="1708" t="s">
        <v>2128</v>
      </c>
      <c r="O48" s="1704"/>
      <c r="P48" s="1705">
        <f t="shared" si="1"/>
        <v>4500</v>
      </c>
      <c r="Q48" s="1706">
        <v>3000</v>
      </c>
      <c r="R48" s="1707"/>
      <c r="S48" s="1707">
        <v>3</v>
      </c>
      <c r="T48" s="1701"/>
      <c r="U48" s="1702"/>
      <c r="V48" s="1702"/>
    </row>
    <row r="49" spans="1:22" ht="18" customHeight="1">
      <c r="A49" s="703"/>
      <c r="B49" s="1577"/>
      <c r="C49" s="1584"/>
      <c r="D49" s="1578"/>
      <c r="E49" s="1590"/>
      <c r="F49" s="1590"/>
      <c r="G49" s="1578"/>
      <c r="H49" s="683"/>
      <c r="I49" s="1984"/>
      <c r="J49" s="590"/>
      <c r="K49" s="1672" t="s">
        <v>1991</v>
      </c>
      <c r="L49" s="1652" t="s">
        <v>242</v>
      </c>
      <c r="M49" s="666">
        <v>1650</v>
      </c>
      <c r="N49" s="1708" t="s">
        <v>2129</v>
      </c>
      <c r="O49" s="1704"/>
      <c r="P49" s="1705">
        <f t="shared" si="1"/>
        <v>1650</v>
      </c>
      <c r="Q49" s="1706">
        <v>550</v>
      </c>
      <c r="R49" s="1707"/>
      <c r="S49" s="1707">
        <v>6</v>
      </c>
      <c r="T49" s="1701"/>
      <c r="U49" s="1702"/>
      <c r="V49" s="1702"/>
    </row>
    <row r="50" spans="1:22" ht="18" customHeight="1">
      <c r="A50" s="703"/>
      <c r="B50" s="1577"/>
      <c r="C50" s="1584"/>
      <c r="D50" s="1578"/>
      <c r="E50" s="1590"/>
      <c r="F50" s="1590"/>
      <c r="G50" s="1578"/>
      <c r="H50" s="683"/>
      <c r="I50" s="1984"/>
      <c r="J50" s="590"/>
      <c r="K50" s="1672" t="s">
        <v>1992</v>
      </c>
      <c r="L50" s="1652" t="s">
        <v>242</v>
      </c>
      <c r="M50" s="666">
        <v>750</v>
      </c>
      <c r="N50" s="1718" t="s">
        <v>2130</v>
      </c>
      <c r="O50" s="1704"/>
      <c r="P50" s="1705">
        <f>Q50*R50*S50*0.5</f>
        <v>750</v>
      </c>
      <c r="Q50" s="1706">
        <v>25</v>
      </c>
      <c r="R50" s="1707">
        <v>5</v>
      </c>
      <c r="S50" s="1707">
        <v>12</v>
      </c>
      <c r="T50" s="1701"/>
      <c r="U50" s="1702"/>
      <c r="V50" s="1702"/>
    </row>
    <row r="51" spans="1:22" ht="18" customHeight="1">
      <c r="A51" s="703"/>
      <c r="B51" s="1577"/>
      <c r="C51" s="1584"/>
      <c r="D51" s="1578"/>
      <c r="E51" s="1590"/>
      <c r="F51" s="1590"/>
      <c r="G51" s="1578"/>
      <c r="H51" s="683"/>
      <c r="I51" s="1984"/>
      <c r="J51" s="590"/>
      <c r="K51" s="1637" t="s">
        <v>1993</v>
      </c>
      <c r="L51" s="1652"/>
      <c r="M51" s="1824">
        <f>SUM(M52:M56)</f>
        <v>8740</v>
      </c>
      <c r="N51" s="1703" t="s">
        <v>2131</v>
      </c>
      <c r="O51" s="228"/>
      <c r="P51" s="1705"/>
      <c r="Q51" s="1706"/>
      <c r="R51" s="1707"/>
      <c r="S51" s="1707"/>
      <c r="T51" s="1701"/>
      <c r="U51" s="1702"/>
      <c r="V51" s="1702"/>
    </row>
    <row r="52" spans="1:22" ht="18" customHeight="1">
      <c r="A52" s="703"/>
      <c r="B52" s="1577"/>
      <c r="C52" s="1584"/>
      <c r="D52" s="1578"/>
      <c r="E52" s="1590"/>
      <c r="F52" s="1590"/>
      <c r="G52" s="1578"/>
      <c r="H52" s="683"/>
      <c r="I52" s="1984"/>
      <c r="J52" s="590"/>
      <c r="K52" s="862" t="s">
        <v>1994</v>
      </c>
      <c r="L52" s="1652" t="s">
        <v>242</v>
      </c>
      <c r="M52" s="666">
        <v>3050</v>
      </c>
      <c r="N52" s="1718" t="s">
        <v>2132</v>
      </c>
      <c r="O52" s="1704"/>
      <c r="P52" s="1705">
        <f>Q52*R52*0.5</f>
        <v>3050</v>
      </c>
      <c r="Q52" s="1706">
        <v>6100</v>
      </c>
      <c r="R52" s="1707">
        <v>1</v>
      </c>
      <c r="S52" s="1707"/>
      <c r="T52" s="1701"/>
      <c r="U52" s="1702"/>
      <c r="V52" s="1702"/>
    </row>
    <row r="53" spans="1:22" ht="18" customHeight="1">
      <c r="A53" s="703"/>
      <c r="B53" s="1577"/>
      <c r="C53" s="1584"/>
      <c r="D53" s="1578"/>
      <c r="E53" s="1590"/>
      <c r="F53" s="1590"/>
      <c r="G53" s="1578"/>
      <c r="H53" s="683"/>
      <c r="I53" s="1984"/>
      <c r="J53" s="590"/>
      <c r="K53" s="862" t="s">
        <v>1995</v>
      </c>
      <c r="L53" s="1652" t="s">
        <v>242</v>
      </c>
      <c r="M53" s="666">
        <v>3410</v>
      </c>
      <c r="N53" s="1718" t="s">
        <v>2133</v>
      </c>
      <c r="O53" s="1704"/>
      <c r="P53" s="1705">
        <f>Q53*R53*0.5</f>
        <v>3410</v>
      </c>
      <c r="Q53" s="1706">
        <v>6820</v>
      </c>
      <c r="R53" s="1707">
        <v>1</v>
      </c>
      <c r="S53" s="1707"/>
      <c r="T53" s="1701"/>
      <c r="U53" s="1702"/>
      <c r="V53" s="1702"/>
    </row>
    <row r="54" spans="1:22" ht="18" customHeight="1">
      <c r="A54" s="703"/>
      <c r="B54" s="1577"/>
      <c r="C54" s="1584"/>
      <c r="D54" s="1578"/>
      <c r="E54" s="1590"/>
      <c r="F54" s="1590"/>
      <c r="G54" s="1578"/>
      <c r="H54" s="683"/>
      <c r="I54" s="1984"/>
      <c r="J54" s="590"/>
      <c r="K54" s="862" t="s">
        <v>1996</v>
      </c>
      <c r="L54" s="1652" t="s">
        <v>242</v>
      </c>
      <c r="M54" s="666">
        <v>1250</v>
      </c>
      <c r="N54" s="1708" t="s">
        <v>2134</v>
      </c>
      <c r="O54" s="1704"/>
      <c r="P54" s="1705">
        <f>Q54*R54*0.5</f>
        <v>1250</v>
      </c>
      <c r="Q54" s="1706">
        <v>2500</v>
      </c>
      <c r="R54" s="1707">
        <v>1</v>
      </c>
      <c r="S54" s="1707"/>
      <c r="T54" s="1701"/>
      <c r="U54" s="1702"/>
      <c r="V54" s="1702"/>
    </row>
    <row r="55" spans="1:22" ht="18" customHeight="1">
      <c r="A55" s="703"/>
      <c r="B55" s="1577"/>
      <c r="C55" s="1584"/>
      <c r="D55" s="1578"/>
      <c r="E55" s="1590"/>
      <c r="F55" s="1590"/>
      <c r="G55" s="1578"/>
      <c r="H55" s="683"/>
      <c r="I55" s="1984"/>
      <c r="J55" s="590"/>
      <c r="K55" s="862" t="s">
        <v>1997</v>
      </c>
      <c r="L55" s="1652" t="s">
        <v>242</v>
      </c>
      <c r="M55" s="666">
        <v>1000</v>
      </c>
      <c r="N55" s="1708" t="s">
        <v>2135</v>
      </c>
      <c r="O55" s="1704"/>
      <c r="P55" s="1705">
        <f>Q55*R55*0.5</f>
        <v>1000</v>
      </c>
      <c r="Q55" s="1706">
        <v>2000</v>
      </c>
      <c r="R55" s="1707">
        <v>1</v>
      </c>
      <c r="S55" s="1707"/>
      <c r="T55" s="1701"/>
      <c r="U55" s="1702"/>
      <c r="V55" s="1702"/>
    </row>
    <row r="56" spans="1:22" ht="18" customHeight="1">
      <c r="A56" s="703"/>
      <c r="B56" s="1577"/>
      <c r="C56" s="1584"/>
      <c r="D56" s="1578"/>
      <c r="E56" s="1590"/>
      <c r="F56" s="1590"/>
      <c r="G56" s="1578"/>
      <c r="H56" s="683"/>
      <c r="I56" s="1984"/>
      <c r="J56" s="590"/>
      <c r="K56" s="862" t="s">
        <v>1998</v>
      </c>
      <c r="L56" s="1652" t="s">
        <v>242</v>
      </c>
      <c r="M56" s="666">
        <v>30</v>
      </c>
      <c r="N56" s="1708"/>
      <c r="O56" s="1704"/>
      <c r="P56" s="1705">
        <f>Q56*R56*0.5</f>
        <v>30</v>
      </c>
      <c r="Q56" s="1706">
        <v>60</v>
      </c>
      <c r="R56" s="1707">
        <v>1</v>
      </c>
      <c r="S56" s="1707"/>
      <c r="T56" s="1701"/>
      <c r="U56" s="1702"/>
      <c r="V56" s="1702"/>
    </row>
    <row r="57" spans="1:22" ht="18" customHeight="1">
      <c r="A57" s="703"/>
      <c r="B57" s="1577"/>
      <c r="C57" s="1584"/>
      <c r="D57" s="1578"/>
      <c r="E57" s="1590"/>
      <c r="F57" s="1590"/>
      <c r="G57" s="1578"/>
      <c r="H57" s="683"/>
      <c r="I57" s="1984"/>
      <c r="J57" s="590"/>
      <c r="K57" s="1637" t="s">
        <v>1999</v>
      </c>
      <c r="L57" s="1652"/>
      <c r="M57" s="1824">
        <f>SUM(M58:M62)</f>
        <v>136820</v>
      </c>
      <c r="N57" s="1703" t="s">
        <v>2136</v>
      </c>
      <c r="O57" s="228"/>
      <c r="P57" s="1705"/>
      <c r="Q57" s="1706"/>
      <c r="R57" s="1707"/>
      <c r="S57" s="1707"/>
      <c r="T57" s="1701"/>
      <c r="U57" s="1702"/>
      <c r="V57" s="1702"/>
    </row>
    <row r="58" spans="1:22" ht="18" customHeight="1">
      <c r="A58" s="703"/>
      <c r="B58" s="1577"/>
      <c r="C58" s="1584"/>
      <c r="D58" s="1578"/>
      <c r="E58" s="1590"/>
      <c r="F58" s="1590"/>
      <c r="G58" s="1578"/>
      <c r="H58" s="683"/>
      <c r="I58" s="1984"/>
      <c r="J58" s="590"/>
      <c r="K58" s="862" t="s">
        <v>2000</v>
      </c>
      <c r="L58" s="1674" t="s">
        <v>242</v>
      </c>
      <c r="M58" s="666">
        <v>120000</v>
      </c>
      <c r="N58" s="1719" t="s">
        <v>2137</v>
      </c>
      <c r="O58" s="1704">
        <f>SUM(P58:P62)</f>
        <v>136820</v>
      </c>
      <c r="P58" s="1662">
        <f>Q58*S58*0.5</f>
        <v>120000</v>
      </c>
      <c r="Q58" s="1709">
        <v>20000</v>
      </c>
      <c r="R58" s="1640"/>
      <c r="S58" s="1640">
        <v>12</v>
      </c>
      <c r="T58" s="1701"/>
      <c r="U58" s="1702"/>
      <c r="V58" s="1702"/>
    </row>
    <row r="59" spans="1:22" ht="18" customHeight="1">
      <c r="A59" s="703"/>
      <c r="B59" s="1577"/>
      <c r="C59" s="1584"/>
      <c r="D59" s="1578"/>
      <c r="E59" s="1590"/>
      <c r="F59" s="1590"/>
      <c r="G59" s="1578"/>
      <c r="H59" s="683"/>
      <c r="I59" s="1984"/>
      <c r="J59" s="590"/>
      <c r="K59" s="862" t="s">
        <v>2001</v>
      </c>
      <c r="L59" s="1652" t="s">
        <v>242</v>
      </c>
      <c r="M59" s="666">
        <v>2000</v>
      </c>
      <c r="N59" s="1708" t="s">
        <v>2138</v>
      </c>
      <c r="O59" s="1704"/>
      <c r="P59" s="1662">
        <f>Q59*R59*S59*0.5</f>
        <v>2000</v>
      </c>
      <c r="Q59" s="1706">
        <v>500</v>
      </c>
      <c r="R59" s="1707">
        <v>2</v>
      </c>
      <c r="S59" s="1707">
        <v>4</v>
      </c>
      <c r="T59" s="1701"/>
      <c r="U59" s="1702"/>
      <c r="V59" s="1702"/>
    </row>
    <row r="60" spans="1:22" ht="18" customHeight="1">
      <c r="A60" s="703"/>
      <c r="B60" s="1577"/>
      <c r="C60" s="1584"/>
      <c r="D60" s="1578"/>
      <c r="E60" s="1590"/>
      <c r="F60" s="1590"/>
      <c r="G60" s="1578"/>
      <c r="H60" s="683"/>
      <c r="I60" s="1984"/>
      <c r="J60" s="590"/>
      <c r="K60" s="862" t="s">
        <v>2002</v>
      </c>
      <c r="L60" s="1652" t="s">
        <v>242</v>
      </c>
      <c r="M60" s="666">
        <v>4800</v>
      </c>
      <c r="N60" s="1708" t="s">
        <v>2139</v>
      </c>
      <c r="O60" s="1704"/>
      <c r="P60" s="1662">
        <f>Q60*S60*0.5</f>
        <v>4800</v>
      </c>
      <c r="Q60" s="1706">
        <v>800</v>
      </c>
      <c r="R60" s="1707">
        <v>1</v>
      </c>
      <c r="S60" s="1707">
        <v>12</v>
      </c>
      <c r="T60" s="1701"/>
      <c r="U60" s="1702"/>
      <c r="V60" s="1702"/>
    </row>
    <row r="61" spans="1:22" ht="18" customHeight="1">
      <c r="A61" s="703"/>
      <c r="B61" s="1577"/>
      <c r="C61" s="1584"/>
      <c r="D61" s="1578"/>
      <c r="E61" s="1590"/>
      <c r="F61" s="1590"/>
      <c r="G61" s="1578"/>
      <c r="H61" s="683"/>
      <c r="I61" s="1984"/>
      <c r="J61" s="590"/>
      <c r="K61" s="862" t="s">
        <v>2003</v>
      </c>
      <c r="L61" s="1652" t="s">
        <v>242</v>
      </c>
      <c r="M61" s="666">
        <v>9780</v>
      </c>
      <c r="N61" s="1708" t="s">
        <v>2140</v>
      </c>
      <c r="O61" s="1704"/>
      <c r="P61" s="1662">
        <f>Q61*S61*0.5</f>
        <v>9780</v>
      </c>
      <c r="Q61" s="1706">
        <v>1630</v>
      </c>
      <c r="R61" s="1707">
        <v>1</v>
      </c>
      <c r="S61" s="1707">
        <v>12</v>
      </c>
      <c r="T61" s="1701"/>
      <c r="U61" s="1702"/>
      <c r="V61" s="1702"/>
    </row>
    <row r="62" spans="1:22" ht="18" customHeight="1">
      <c r="A62" s="703"/>
      <c r="B62" s="1577"/>
      <c r="C62" s="1584"/>
      <c r="D62" s="1578"/>
      <c r="E62" s="1590"/>
      <c r="F62" s="1590"/>
      <c r="G62" s="1578"/>
      <c r="H62" s="683"/>
      <c r="I62" s="1984"/>
      <c r="J62" s="590"/>
      <c r="K62" s="862" t="s">
        <v>2004</v>
      </c>
      <c r="L62" s="1652" t="s">
        <v>242</v>
      </c>
      <c r="M62" s="666">
        <v>240</v>
      </c>
      <c r="N62" s="1708" t="s">
        <v>2141</v>
      </c>
      <c r="O62" s="1704"/>
      <c r="P62" s="1662">
        <f>Q62*S62*0.5</f>
        <v>240</v>
      </c>
      <c r="Q62" s="1706">
        <v>80</v>
      </c>
      <c r="R62" s="1707">
        <v>1</v>
      </c>
      <c r="S62" s="1707">
        <v>6</v>
      </c>
      <c r="T62" s="1701"/>
      <c r="U62" s="1702"/>
      <c r="V62" s="1702"/>
    </row>
    <row r="63" spans="1:22" ht="18" customHeight="1">
      <c r="A63" s="703"/>
      <c r="B63" s="1577"/>
      <c r="C63" s="1584"/>
      <c r="D63" s="1578"/>
      <c r="E63" s="1590"/>
      <c r="F63" s="1590"/>
      <c r="G63" s="1590"/>
      <c r="H63" s="683"/>
      <c r="I63" s="1984"/>
      <c r="J63" s="590"/>
      <c r="K63" s="862" t="s">
        <v>2005</v>
      </c>
      <c r="L63" s="1652"/>
      <c r="M63" s="1824">
        <f>SUM(M64:M65)</f>
        <v>8640</v>
      </c>
      <c r="N63" s="1703" t="s">
        <v>2142</v>
      </c>
      <c r="O63" s="1704">
        <f>SUM(P64:P65)</f>
        <v>8640</v>
      </c>
      <c r="P63" s="1705"/>
      <c r="Q63" s="1706"/>
      <c r="R63" s="1707"/>
      <c r="S63" s="1707"/>
      <c r="T63" s="1701"/>
      <c r="U63" s="1702"/>
      <c r="V63" s="1702"/>
    </row>
    <row r="64" spans="1:22" ht="18" customHeight="1">
      <c r="A64" s="703"/>
      <c r="B64" s="1577"/>
      <c r="C64" s="1584"/>
      <c r="D64" s="1578"/>
      <c r="E64" s="1590"/>
      <c r="F64" s="1590"/>
      <c r="G64" s="1590"/>
      <c r="H64" s="683"/>
      <c r="I64" s="1984"/>
      <c r="J64" s="590"/>
      <c r="K64" s="862" t="s">
        <v>2006</v>
      </c>
      <c r="L64" s="1652" t="s">
        <v>242</v>
      </c>
      <c r="M64" s="666">
        <v>8400</v>
      </c>
      <c r="N64" s="1708" t="s">
        <v>2143</v>
      </c>
      <c r="O64" s="1704"/>
      <c r="P64" s="1705">
        <f>Q64*S64*0.5</f>
        <v>8400</v>
      </c>
      <c r="Q64" s="1706">
        <v>1400</v>
      </c>
      <c r="R64" s="1707"/>
      <c r="S64" s="1707">
        <v>12</v>
      </c>
      <c r="T64" s="1701"/>
      <c r="U64" s="1702"/>
      <c r="V64" s="1702"/>
    </row>
    <row r="65" spans="1:22" ht="18" customHeight="1">
      <c r="A65" s="703"/>
      <c r="B65" s="1577"/>
      <c r="C65" s="1584"/>
      <c r="D65" s="1578"/>
      <c r="E65" s="1590"/>
      <c r="F65" s="1590"/>
      <c r="G65" s="1590"/>
      <c r="H65" s="683"/>
      <c r="I65" s="1984"/>
      <c r="J65" s="590"/>
      <c r="K65" s="862" t="s">
        <v>2007</v>
      </c>
      <c r="L65" s="1652" t="s">
        <v>242</v>
      </c>
      <c r="M65" s="666">
        <v>240</v>
      </c>
      <c r="N65" s="1708" t="s">
        <v>2144</v>
      </c>
      <c r="O65" s="1704"/>
      <c r="P65" s="1705">
        <f>Q65*S65*0.5</f>
        <v>240</v>
      </c>
      <c r="Q65" s="1706">
        <v>40</v>
      </c>
      <c r="R65" s="1707"/>
      <c r="S65" s="1707">
        <v>12</v>
      </c>
      <c r="T65" s="1701"/>
      <c r="U65" s="1702"/>
      <c r="V65" s="1702"/>
    </row>
    <row r="66" spans="1:22" ht="18" customHeight="1">
      <c r="A66" s="703"/>
      <c r="B66" s="1577"/>
      <c r="C66" s="1584"/>
      <c r="D66" s="1592"/>
      <c r="E66" s="1593"/>
      <c r="F66" s="1593"/>
      <c r="G66" s="1590"/>
      <c r="H66" s="683"/>
      <c r="I66" s="1984"/>
      <c r="J66" s="595"/>
      <c r="K66" s="942" t="s">
        <v>2008</v>
      </c>
      <c r="L66" s="1639" t="s">
        <v>242</v>
      </c>
      <c r="M66" s="1824">
        <v>300</v>
      </c>
      <c r="N66" s="1720" t="s">
        <v>2145</v>
      </c>
      <c r="O66" s="1662">
        <f>P66</f>
        <v>300</v>
      </c>
      <c r="P66" s="1705">
        <f>Q66*S66*0.5</f>
        <v>300</v>
      </c>
      <c r="Q66" s="1640">
        <v>100</v>
      </c>
      <c r="R66" s="1640">
        <v>1</v>
      </c>
      <c r="S66" s="1721">
        <v>6</v>
      </c>
      <c r="T66" s="1700"/>
      <c r="U66" s="1702"/>
      <c r="V66" s="1702"/>
    </row>
    <row r="67" spans="1:22" ht="18" customHeight="1">
      <c r="A67" s="703"/>
      <c r="B67" s="1577"/>
      <c r="C67" s="1584"/>
      <c r="D67" s="1578"/>
      <c r="E67" s="1590"/>
      <c r="F67" s="1578"/>
      <c r="G67" s="1591" t="s">
        <v>991</v>
      </c>
      <c r="H67" s="1876">
        <f>M67</f>
        <v>22200</v>
      </c>
      <c r="I67" s="1986">
        <v>34000</v>
      </c>
      <c r="J67" s="590">
        <f>H67-I67</f>
        <v>-11800</v>
      </c>
      <c r="K67" s="1651" t="s">
        <v>991</v>
      </c>
      <c r="L67" s="1652"/>
      <c r="M67" s="1827">
        <f>M68+M73</f>
        <v>22200</v>
      </c>
      <c r="N67" s="1703"/>
      <c r="O67" s="1722">
        <f>SUM(O68:O74)</f>
        <v>22200</v>
      </c>
      <c r="P67" s="1705"/>
      <c r="Q67" s="1706"/>
      <c r="R67" s="1707"/>
      <c r="S67" s="1707"/>
      <c r="T67" s="1701"/>
      <c r="U67" s="1702"/>
      <c r="V67" s="1702"/>
    </row>
    <row r="68" spans="1:22" ht="18" customHeight="1">
      <c r="A68" s="703"/>
      <c r="B68" s="1577"/>
      <c r="C68" s="1584"/>
      <c r="D68" s="1578"/>
      <c r="E68" s="1590"/>
      <c r="F68" s="1578"/>
      <c r="G68" s="1578"/>
      <c r="H68" s="683"/>
      <c r="I68" s="1984"/>
      <c r="J68" s="590"/>
      <c r="K68" s="862" t="s">
        <v>2009</v>
      </c>
      <c r="L68" s="1652"/>
      <c r="M68" s="1824">
        <f>SUM(M69:M72)</f>
        <v>7200</v>
      </c>
      <c r="N68" s="1703" t="s">
        <v>2146</v>
      </c>
      <c r="O68" s="1704">
        <f>SUM(P69:P72)</f>
        <v>7200</v>
      </c>
      <c r="P68" s="1705"/>
      <c r="Q68" s="1706"/>
      <c r="R68" s="1707"/>
      <c r="S68" s="1707"/>
      <c r="T68" s="1701"/>
      <c r="U68" s="1702"/>
      <c r="V68" s="1702"/>
    </row>
    <row r="69" spans="1:22" ht="18" customHeight="1">
      <c r="A69" s="703"/>
      <c r="B69" s="1577"/>
      <c r="C69" s="1584"/>
      <c r="D69" s="1578"/>
      <c r="E69" s="1590"/>
      <c r="F69" s="1590"/>
      <c r="G69" s="1590"/>
      <c r="H69" s="683"/>
      <c r="I69" s="1984"/>
      <c r="J69" s="590"/>
      <c r="K69" s="862" t="s">
        <v>2010</v>
      </c>
      <c r="L69" s="1652" t="s">
        <v>1185</v>
      </c>
      <c r="M69" s="666">
        <v>1680</v>
      </c>
      <c r="N69" s="1708" t="s">
        <v>2147</v>
      </c>
      <c r="O69" s="1704"/>
      <c r="P69" s="1705">
        <f>Q69*R69*S69</f>
        <v>1680</v>
      </c>
      <c r="Q69" s="1706">
        <v>70</v>
      </c>
      <c r="R69" s="1707">
        <v>2</v>
      </c>
      <c r="S69" s="1707">
        <v>12</v>
      </c>
      <c r="T69" s="1701"/>
      <c r="U69" s="1702"/>
      <c r="V69" s="1702"/>
    </row>
    <row r="70" spans="1:22" ht="18" customHeight="1">
      <c r="A70" s="703"/>
      <c r="B70" s="1577"/>
      <c r="C70" s="1584"/>
      <c r="D70" s="1578"/>
      <c r="E70" s="1590"/>
      <c r="F70" s="1590"/>
      <c r="G70" s="1590"/>
      <c r="H70" s="683"/>
      <c r="I70" s="1984"/>
      <c r="J70" s="590"/>
      <c r="K70" s="862" t="s">
        <v>2011</v>
      </c>
      <c r="L70" s="1652" t="s">
        <v>242</v>
      </c>
      <c r="M70" s="666">
        <v>1440</v>
      </c>
      <c r="N70" s="1708" t="s">
        <v>2148</v>
      </c>
      <c r="O70" s="1704"/>
      <c r="P70" s="1705">
        <f>Q70*R70*S70</f>
        <v>1440</v>
      </c>
      <c r="Q70" s="1706">
        <v>20</v>
      </c>
      <c r="R70" s="1707">
        <v>6</v>
      </c>
      <c r="S70" s="1707">
        <v>12</v>
      </c>
      <c r="T70" s="1701"/>
      <c r="U70" s="1702"/>
      <c r="V70" s="1702"/>
    </row>
    <row r="71" spans="1:22" ht="18" customHeight="1">
      <c r="A71" s="703"/>
      <c r="B71" s="1577"/>
      <c r="C71" s="1584"/>
      <c r="D71" s="1578"/>
      <c r="E71" s="1590"/>
      <c r="F71" s="1590"/>
      <c r="G71" s="1590"/>
      <c r="H71" s="683"/>
      <c r="I71" s="1984"/>
      <c r="J71" s="590"/>
      <c r="K71" s="862" t="s">
        <v>2012</v>
      </c>
      <c r="L71" s="1652" t="s">
        <v>242</v>
      </c>
      <c r="M71" s="666">
        <v>3360</v>
      </c>
      <c r="N71" s="1708" t="s">
        <v>2149</v>
      </c>
      <c r="O71" s="1704"/>
      <c r="P71" s="1705">
        <f>Q71*R71*S71</f>
        <v>3360</v>
      </c>
      <c r="Q71" s="1706">
        <v>140</v>
      </c>
      <c r="R71" s="1707">
        <v>2</v>
      </c>
      <c r="S71" s="1707">
        <v>12</v>
      </c>
      <c r="T71" s="1701"/>
      <c r="U71" s="1702"/>
      <c r="V71" s="1702"/>
    </row>
    <row r="72" spans="1:22" ht="18" customHeight="1">
      <c r="A72" s="1586"/>
      <c r="B72" s="1587"/>
      <c r="C72" s="1673"/>
      <c r="D72" s="1588"/>
      <c r="E72" s="1589"/>
      <c r="F72" s="1589"/>
      <c r="G72" s="1589"/>
      <c r="H72" s="683"/>
      <c r="I72" s="1984"/>
      <c r="J72" s="590"/>
      <c r="K72" s="862" t="s">
        <v>2013</v>
      </c>
      <c r="L72" s="1652" t="s">
        <v>242</v>
      </c>
      <c r="M72" s="666">
        <v>720</v>
      </c>
      <c r="N72" s="1708" t="s">
        <v>2150</v>
      </c>
      <c r="O72" s="1704"/>
      <c r="P72" s="1662">
        <f>Q72*R72*S72</f>
        <v>720</v>
      </c>
      <c r="Q72" s="1709">
        <v>60</v>
      </c>
      <c r="R72" s="1640">
        <v>1</v>
      </c>
      <c r="S72" s="1640">
        <v>12</v>
      </c>
      <c r="T72" s="1710"/>
      <c r="U72" s="1711"/>
      <c r="V72" s="1711"/>
    </row>
    <row r="73" spans="1:22" ht="18" customHeight="1">
      <c r="A73" s="703"/>
      <c r="B73" s="1577"/>
      <c r="C73" s="1584"/>
      <c r="D73" s="1578"/>
      <c r="E73" s="1590"/>
      <c r="F73" s="1590"/>
      <c r="G73" s="1590"/>
      <c r="H73" s="683"/>
      <c r="I73" s="1984"/>
      <c r="J73" s="590"/>
      <c r="K73" s="862" t="s">
        <v>2014</v>
      </c>
      <c r="L73" s="1652"/>
      <c r="M73" s="1824">
        <f>M74</f>
        <v>15000</v>
      </c>
      <c r="N73" s="1703" t="s">
        <v>2151</v>
      </c>
      <c r="O73" s="1704">
        <f>SUM(P74:P74)</f>
        <v>15000</v>
      </c>
      <c r="P73" s="1705"/>
      <c r="Q73" s="1706"/>
      <c r="R73" s="1707"/>
      <c r="S73" s="1707"/>
      <c r="T73" s="1701"/>
      <c r="U73" s="1702"/>
      <c r="V73" s="1702"/>
    </row>
    <row r="74" spans="1:22" ht="18" customHeight="1">
      <c r="A74" s="703"/>
      <c r="B74" s="1577"/>
      <c r="C74" s="1584"/>
      <c r="D74" s="1578"/>
      <c r="E74" s="1590"/>
      <c r="F74" s="1578"/>
      <c r="G74" s="1594"/>
      <c r="H74" s="683"/>
      <c r="I74" s="1984"/>
      <c r="J74" s="590"/>
      <c r="K74" s="2227" t="s">
        <v>2015</v>
      </c>
      <c r="L74" s="1652" t="s">
        <v>242</v>
      </c>
      <c r="M74" s="666">
        <v>15000</v>
      </c>
      <c r="N74" s="1708" t="s">
        <v>2152</v>
      </c>
      <c r="O74" s="1704"/>
      <c r="P74" s="1705">
        <f>Q74*R74*S74</f>
        <v>15000</v>
      </c>
      <c r="Q74" s="1706">
        <v>1250</v>
      </c>
      <c r="R74" s="1707">
        <v>1</v>
      </c>
      <c r="S74" s="1707">
        <v>12</v>
      </c>
      <c r="T74" s="1701"/>
      <c r="U74" s="1702"/>
      <c r="V74" s="1702"/>
    </row>
    <row r="75" spans="1:22" ht="18" customHeight="1">
      <c r="A75" s="703"/>
      <c r="B75" s="1577"/>
      <c r="C75" s="1584"/>
      <c r="D75" s="1578"/>
      <c r="E75" s="1590"/>
      <c r="F75" s="1578"/>
      <c r="G75" s="1578" t="s">
        <v>992</v>
      </c>
      <c r="H75" s="1876">
        <f>M75</f>
        <v>65740</v>
      </c>
      <c r="I75" s="1986">
        <v>65840</v>
      </c>
      <c r="J75" s="594">
        <f>H75-I75</f>
        <v>-100</v>
      </c>
      <c r="K75" s="1651" t="s">
        <v>992</v>
      </c>
      <c r="L75" s="1646"/>
      <c r="M75" s="1827">
        <f>M76+M80+M85+M86</f>
        <v>65740</v>
      </c>
      <c r="N75" s="1723"/>
      <c r="O75" s="1722">
        <f>SUM(O76:O86)</f>
        <v>65740</v>
      </c>
      <c r="P75" s="1704"/>
      <c r="Q75" s="1706"/>
      <c r="R75" s="1707"/>
      <c r="S75" s="1707"/>
      <c r="T75" s="1700"/>
      <c r="U75" s="1702"/>
      <c r="V75" s="1702"/>
    </row>
    <row r="76" spans="1:22" ht="18" customHeight="1">
      <c r="A76" s="1586"/>
      <c r="B76" s="1587"/>
      <c r="C76" s="1673"/>
      <c r="D76" s="1578"/>
      <c r="E76" s="1578"/>
      <c r="F76" s="1578"/>
      <c r="G76" s="1578"/>
      <c r="H76" s="683"/>
      <c r="I76" s="1984"/>
      <c r="J76" s="590"/>
      <c r="K76" s="1637" t="s">
        <v>2016</v>
      </c>
      <c r="L76" s="1677"/>
      <c r="M76" s="666">
        <f>SUM(M77:M79)</f>
        <v>24360</v>
      </c>
      <c r="N76" s="1724" t="s">
        <v>2153</v>
      </c>
      <c r="O76" s="1704">
        <f>SUM(P77:P79)</f>
        <v>24360</v>
      </c>
      <c r="P76" s="1662"/>
      <c r="Q76" s="1709"/>
      <c r="R76" s="1640"/>
      <c r="S76" s="1640"/>
      <c r="T76" s="1725"/>
      <c r="U76" s="1711"/>
      <c r="V76" s="1711"/>
    </row>
    <row r="77" spans="1:22" ht="18" customHeight="1">
      <c r="A77" s="1586"/>
      <c r="B77" s="1587"/>
      <c r="C77" s="1673"/>
      <c r="D77" s="1578"/>
      <c r="E77" s="1578"/>
      <c r="F77" s="1578"/>
      <c r="G77" s="1578"/>
      <c r="H77" s="683"/>
      <c r="I77" s="1984"/>
      <c r="J77" s="590"/>
      <c r="K77" s="1637" t="s">
        <v>2017</v>
      </c>
      <c r="L77" s="1677" t="s">
        <v>242</v>
      </c>
      <c r="M77" s="666">
        <v>10920</v>
      </c>
      <c r="N77" s="1726" t="s">
        <v>2154</v>
      </c>
      <c r="O77" s="1704"/>
      <c r="P77" s="1662">
        <f>Q77*R77*S77</f>
        <v>10920</v>
      </c>
      <c r="Q77" s="1709">
        <v>130</v>
      </c>
      <c r="R77" s="1640">
        <v>84</v>
      </c>
      <c r="S77" s="1640">
        <v>1</v>
      </c>
      <c r="T77" s="1725"/>
      <c r="U77" s="1711"/>
      <c r="V77" s="1711"/>
    </row>
    <row r="78" spans="1:22" ht="18" customHeight="1">
      <c r="A78" s="1586"/>
      <c r="B78" s="1587"/>
      <c r="C78" s="1673"/>
      <c r="D78" s="1578"/>
      <c r="E78" s="1578"/>
      <c r="F78" s="1578"/>
      <c r="G78" s="1578"/>
      <c r="H78" s="683"/>
      <c r="I78" s="1984"/>
      <c r="J78" s="590"/>
      <c r="K78" s="1637" t="s">
        <v>2018</v>
      </c>
      <c r="L78" s="1677" t="s">
        <v>242</v>
      </c>
      <c r="M78" s="666">
        <v>6720</v>
      </c>
      <c r="N78" s="1726" t="s">
        <v>2155</v>
      </c>
      <c r="O78" s="1704"/>
      <c r="P78" s="1662">
        <f>Q78*R78*S78</f>
        <v>6720</v>
      </c>
      <c r="Q78" s="1709">
        <v>80</v>
      </c>
      <c r="R78" s="1640">
        <v>84</v>
      </c>
      <c r="S78" s="1640">
        <v>1</v>
      </c>
      <c r="T78" s="1725"/>
      <c r="U78" s="1711"/>
      <c r="V78" s="1711"/>
    </row>
    <row r="79" spans="1:22" ht="18" customHeight="1">
      <c r="A79" s="1586"/>
      <c r="B79" s="1587"/>
      <c r="C79" s="1673"/>
      <c r="D79" s="1578"/>
      <c r="E79" s="1578"/>
      <c r="F79" s="1578"/>
      <c r="G79" s="1578"/>
      <c r="H79" s="683"/>
      <c r="I79" s="1984"/>
      <c r="J79" s="590"/>
      <c r="K79" s="1637" t="s">
        <v>2019</v>
      </c>
      <c r="L79" s="1677" t="s">
        <v>242</v>
      </c>
      <c r="M79" s="666">
        <v>6720</v>
      </c>
      <c r="N79" s="1726" t="s">
        <v>2156</v>
      </c>
      <c r="O79" s="1704"/>
      <c r="P79" s="1662">
        <f>Q79*R79*S79</f>
        <v>6720</v>
      </c>
      <c r="Q79" s="1709">
        <v>80</v>
      </c>
      <c r="R79" s="1640">
        <v>84</v>
      </c>
      <c r="S79" s="1640">
        <v>1</v>
      </c>
      <c r="T79" s="1725"/>
      <c r="U79" s="1711"/>
      <c r="V79" s="1711"/>
    </row>
    <row r="80" spans="1:22" ht="18" customHeight="1">
      <c r="A80" s="1586"/>
      <c r="B80" s="1587"/>
      <c r="C80" s="1673"/>
      <c r="D80" s="1578"/>
      <c r="E80" s="1578"/>
      <c r="F80" s="1578"/>
      <c r="G80" s="1578"/>
      <c r="H80" s="683"/>
      <c r="I80" s="1984"/>
      <c r="J80" s="590"/>
      <c r="K80" s="1637" t="s">
        <v>2020</v>
      </c>
      <c r="L80" s="1677"/>
      <c r="M80" s="666">
        <f>SUM(M81:M84)</f>
        <v>35580</v>
      </c>
      <c r="N80" s="1724" t="s">
        <v>2157</v>
      </c>
      <c r="O80" s="1704">
        <f>SUM(P81:P84)</f>
        <v>35580</v>
      </c>
      <c r="P80" s="1662"/>
      <c r="Q80" s="1709"/>
      <c r="R80" s="1640"/>
      <c r="S80" s="1640"/>
      <c r="T80" s="1725"/>
      <c r="U80" s="1711"/>
      <c r="V80" s="1711"/>
    </row>
    <row r="81" spans="1:22" ht="18" customHeight="1">
      <c r="A81" s="1586"/>
      <c r="B81" s="1587"/>
      <c r="C81" s="1673"/>
      <c r="D81" s="1578"/>
      <c r="E81" s="1578"/>
      <c r="F81" s="1578"/>
      <c r="G81" s="1578"/>
      <c r="H81" s="683"/>
      <c r="I81" s="1984"/>
      <c r="J81" s="590"/>
      <c r="K81" s="1637" t="s">
        <v>2021</v>
      </c>
      <c r="L81" s="1677" t="s">
        <v>242</v>
      </c>
      <c r="M81" s="666">
        <v>8400</v>
      </c>
      <c r="N81" s="1726" t="s">
        <v>2158</v>
      </c>
      <c r="O81" s="1704"/>
      <c r="P81" s="1662">
        <f>Q81*R81*S81</f>
        <v>8400</v>
      </c>
      <c r="Q81" s="1709">
        <v>100</v>
      </c>
      <c r="R81" s="1640">
        <v>42</v>
      </c>
      <c r="S81" s="1640">
        <v>2</v>
      </c>
      <c r="T81" s="1725"/>
      <c r="U81" s="1711"/>
      <c r="V81" s="1711"/>
    </row>
    <row r="82" spans="1:22" ht="18" customHeight="1">
      <c r="A82" s="1586"/>
      <c r="B82" s="1587"/>
      <c r="C82" s="1673"/>
      <c r="D82" s="1578"/>
      <c r="E82" s="1578"/>
      <c r="F82" s="1578"/>
      <c r="G82" s="1578"/>
      <c r="H82" s="683"/>
      <c r="I82" s="1984"/>
      <c r="J82" s="590"/>
      <c r="K82" s="1637" t="s">
        <v>2022</v>
      </c>
      <c r="L82" s="1677" t="s">
        <v>242</v>
      </c>
      <c r="M82" s="666">
        <v>4200</v>
      </c>
      <c r="N82" s="1726" t="s">
        <v>2159</v>
      </c>
      <c r="O82" s="1704"/>
      <c r="P82" s="1662">
        <f>Q82*R82*S82</f>
        <v>4200</v>
      </c>
      <c r="Q82" s="1709">
        <v>50</v>
      </c>
      <c r="R82" s="1640">
        <v>42</v>
      </c>
      <c r="S82" s="1640">
        <v>2</v>
      </c>
      <c r="T82" s="1725"/>
      <c r="U82" s="1711"/>
      <c r="V82" s="1711"/>
    </row>
    <row r="83" spans="1:22" ht="18" customHeight="1">
      <c r="A83" s="1586"/>
      <c r="B83" s="1587"/>
      <c r="C83" s="1673"/>
      <c r="D83" s="1578"/>
      <c r="E83" s="1578"/>
      <c r="F83" s="1578"/>
      <c r="G83" s="1578"/>
      <c r="H83" s="683"/>
      <c r="I83" s="1984"/>
      <c r="J83" s="590"/>
      <c r="K83" s="1636" t="s">
        <v>2023</v>
      </c>
      <c r="L83" s="1677" t="s">
        <v>242</v>
      </c>
      <c r="M83" s="666">
        <v>10080</v>
      </c>
      <c r="N83" s="1726" t="s">
        <v>2160</v>
      </c>
      <c r="O83" s="1704"/>
      <c r="P83" s="1662">
        <f>Q83*R83*S83</f>
        <v>10080</v>
      </c>
      <c r="Q83" s="1709">
        <v>20</v>
      </c>
      <c r="R83" s="1640">
        <v>42</v>
      </c>
      <c r="S83" s="1640">
        <v>12</v>
      </c>
      <c r="T83" s="1725"/>
      <c r="U83" s="1711"/>
      <c r="V83" s="1711"/>
    </row>
    <row r="84" spans="1:22" ht="18" customHeight="1">
      <c r="A84" s="1586"/>
      <c r="B84" s="1587"/>
      <c r="C84" s="1673"/>
      <c r="D84" s="1578"/>
      <c r="E84" s="1578"/>
      <c r="F84" s="1578"/>
      <c r="G84" s="1578"/>
      <c r="H84" s="683"/>
      <c r="I84" s="1984"/>
      <c r="J84" s="590"/>
      <c r="K84" s="1637" t="s">
        <v>2024</v>
      </c>
      <c r="L84" s="1676" t="s">
        <v>242</v>
      </c>
      <c r="M84" s="666">
        <v>12900</v>
      </c>
      <c r="N84" s="1727" t="s">
        <v>2161</v>
      </c>
      <c r="O84" s="1704"/>
      <c r="P84" s="1662">
        <f>Q84*S84</f>
        <v>12900</v>
      </c>
      <c r="Q84" s="1709">
        <v>1290</v>
      </c>
      <c r="R84" s="1640"/>
      <c r="S84" s="1640">
        <v>10</v>
      </c>
      <c r="T84" s="1725"/>
      <c r="U84" s="1711"/>
      <c r="V84" s="1711"/>
    </row>
    <row r="85" spans="1:22" ht="18" customHeight="1">
      <c r="A85" s="1586"/>
      <c r="B85" s="1587"/>
      <c r="C85" s="1673"/>
      <c r="D85" s="1578"/>
      <c r="E85" s="1578"/>
      <c r="F85" s="1578"/>
      <c r="G85" s="1578"/>
      <c r="H85" s="683"/>
      <c r="I85" s="1984"/>
      <c r="J85" s="590"/>
      <c r="K85" s="862" t="s">
        <v>2025</v>
      </c>
      <c r="L85" s="1652" t="s">
        <v>242</v>
      </c>
      <c r="M85" s="666">
        <v>400</v>
      </c>
      <c r="N85" s="1715" t="s">
        <v>2162</v>
      </c>
      <c r="O85" s="1705">
        <f>Q85*R85</f>
        <v>400</v>
      </c>
      <c r="P85" s="1662"/>
      <c r="Q85" s="1707">
        <v>200</v>
      </c>
      <c r="R85" s="1707">
        <v>2</v>
      </c>
      <c r="S85" s="1728"/>
      <c r="T85" s="1725"/>
      <c r="U85" s="1711"/>
      <c r="V85" s="1711"/>
    </row>
    <row r="86" spans="1:22" ht="18" customHeight="1">
      <c r="A86" s="1586"/>
      <c r="B86" s="1587"/>
      <c r="C86" s="1673"/>
      <c r="D86" s="1578"/>
      <c r="E86" s="1578"/>
      <c r="F86" s="1578"/>
      <c r="G86" s="1578"/>
      <c r="H86" s="1871"/>
      <c r="I86" s="1987"/>
      <c r="J86" s="595"/>
      <c r="K86" s="1644" t="s">
        <v>2026</v>
      </c>
      <c r="L86" s="1639" t="s">
        <v>242</v>
      </c>
      <c r="M86" s="1078">
        <v>5400</v>
      </c>
      <c r="N86" s="1724" t="s">
        <v>2163</v>
      </c>
      <c r="O86" s="1704">
        <f>P86</f>
        <v>5400</v>
      </c>
      <c r="P86" s="1662">
        <f>Q86*S86*R86*T86</f>
        <v>5400</v>
      </c>
      <c r="Q86" s="1709">
        <v>9</v>
      </c>
      <c r="R86" s="1729">
        <v>5</v>
      </c>
      <c r="S86" s="1640">
        <v>10</v>
      </c>
      <c r="T86" s="1725">
        <v>12</v>
      </c>
      <c r="U86" s="1711"/>
      <c r="V86" s="1711"/>
    </row>
    <row r="87" spans="1:22" ht="18" customHeight="1">
      <c r="A87" s="703"/>
      <c r="B87" s="1577"/>
      <c r="C87" s="1584"/>
      <c r="D87" s="1578"/>
      <c r="E87" s="1590"/>
      <c r="F87" s="1578"/>
      <c r="G87" s="1591" t="s">
        <v>1005</v>
      </c>
      <c r="H87" s="683">
        <f>M87</f>
        <v>118591</v>
      </c>
      <c r="I87" s="1984">
        <v>128696</v>
      </c>
      <c r="J87" s="590">
        <f>H87-I87</f>
        <v>-10105</v>
      </c>
      <c r="K87" s="1651" t="s">
        <v>1005</v>
      </c>
      <c r="L87" s="1652"/>
      <c r="M87" s="1824">
        <f>M88+M89+M90+M91+M92+M93+M94+M97+M99+M102</f>
        <v>118591</v>
      </c>
      <c r="N87" s="1696"/>
      <c r="O87" s="1722">
        <f>SUM(O88:O104)</f>
        <v>118591</v>
      </c>
      <c r="P87" s="1705"/>
      <c r="Q87" s="1706"/>
      <c r="R87" s="1707"/>
      <c r="S87" s="1707"/>
      <c r="T87" s="1701"/>
      <c r="U87" s="1702"/>
      <c r="V87" s="1702"/>
    </row>
    <row r="88" spans="1:22" ht="18" customHeight="1">
      <c r="A88" s="703"/>
      <c r="B88" s="1577"/>
      <c r="C88" s="1584"/>
      <c r="D88" s="1578"/>
      <c r="E88" s="1590"/>
      <c r="F88" s="1590"/>
      <c r="G88" s="1590"/>
      <c r="H88" s="683"/>
      <c r="I88" s="1984"/>
      <c r="J88" s="590"/>
      <c r="K88" s="862" t="s">
        <v>2027</v>
      </c>
      <c r="L88" s="1652" t="s">
        <v>242</v>
      </c>
      <c r="M88" s="666">
        <v>100</v>
      </c>
      <c r="N88" s="1715" t="s">
        <v>2164</v>
      </c>
      <c r="O88" s="1730">
        <f>SUM(P88:P93)</f>
        <v>3706</v>
      </c>
      <c r="P88" s="1705">
        <f>Q88*R88*S88</f>
        <v>100</v>
      </c>
      <c r="Q88" s="1706">
        <v>5</v>
      </c>
      <c r="R88" s="1707">
        <v>5</v>
      </c>
      <c r="S88" s="1707">
        <v>4</v>
      </c>
      <c r="T88" s="1731"/>
      <c r="U88" s="1702"/>
      <c r="V88" s="1702"/>
    </row>
    <row r="89" spans="1:22" ht="18" customHeight="1">
      <c r="A89" s="703"/>
      <c r="B89" s="1577"/>
      <c r="C89" s="1584"/>
      <c r="D89" s="1578"/>
      <c r="E89" s="1590"/>
      <c r="F89" s="1590"/>
      <c r="G89" s="1590"/>
      <c r="H89" s="683"/>
      <c r="I89" s="1984"/>
      <c r="J89" s="590"/>
      <c r="K89" s="862" t="s">
        <v>2028</v>
      </c>
      <c r="L89" s="1652" t="s">
        <v>242</v>
      </c>
      <c r="M89" s="666">
        <v>2340</v>
      </c>
      <c r="N89" s="1715" t="s">
        <v>2165</v>
      </c>
      <c r="O89" s="1730"/>
      <c r="P89" s="1705">
        <f>Q89*R89*S89</f>
        <v>2340</v>
      </c>
      <c r="Q89" s="1706">
        <v>65</v>
      </c>
      <c r="R89" s="1707">
        <v>3</v>
      </c>
      <c r="S89" s="1707">
        <v>12</v>
      </c>
      <c r="T89" s="1731"/>
      <c r="U89" s="1702"/>
      <c r="V89" s="1702"/>
    </row>
    <row r="90" spans="1:22" ht="18" customHeight="1">
      <c r="A90" s="703"/>
      <c r="B90" s="1577"/>
      <c r="C90" s="1584"/>
      <c r="D90" s="1578"/>
      <c r="E90" s="1590"/>
      <c r="F90" s="1590"/>
      <c r="G90" s="1590"/>
      <c r="H90" s="683"/>
      <c r="I90" s="1984"/>
      <c r="J90" s="590"/>
      <c r="K90" s="862" t="s">
        <v>2029</v>
      </c>
      <c r="L90" s="1652" t="s">
        <v>242</v>
      </c>
      <c r="M90" s="666">
        <v>60</v>
      </c>
      <c r="N90" s="1732" t="s">
        <v>2166</v>
      </c>
      <c r="O90" s="1730"/>
      <c r="P90" s="1705">
        <f>Q90*R90*S90</f>
        <v>60</v>
      </c>
      <c r="Q90" s="1706">
        <v>5</v>
      </c>
      <c r="R90" s="1707">
        <v>3</v>
      </c>
      <c r="S90" s="1707">
        <v>4</v>
      </c>
      <c r="T90" s="1731"/>
      <c r="U90" s="1702"/>
      <c r="V90" s="1702"/>
    </row>
    <row r="91" spans="1:22" ht="18" customHeight="1">
      <c r="A91" s="703"/>
      <c r="B91" s="1577"/>
      <c r="C91" s="1584"/>
      <c r="D91" s="1578"/>
      <c r="E91" s="1590"/>
      <c r="F91" s="1590"/>
      <c r="G91" s="1590"/>
      <c r="H91" s="683"/>
      <c r="I91" s="1984"/>
      <c r="J91" s="590"/>
      <c r="K91" s="862" t="s">
        <v>2030</v>
      </c>
      <c r="L91" s="1652" t="s">
        <v>242</v>
      </c>
      <c r="M91" s="666">
        <v>396</v>
      </c>
      <c r="N91" s="1715" t="s">
        <v>2167</v>
      </c>
      <c r="O91" s="1730"/>
      <c r="P91" s="1705">
        <f>Q91*R91*S91</f>
        <v>396</v>
      </c>
      <c r="Q91" s="1706">
        <v>11</v>
      </c>
      <c r="R91" s="1707">
        <v>36</v>
      </c>
      <c r="S91" s="1707">
        <v>1</v>
      </c>
      <c r="T91" s="1731"/>
      <c r="U91" s="1702"/>
      <c r="V91" s="1702"/>
    </row>
    <row r="92" spans="1:22" ht="18" customHeight="1">
      <c r="A92" s="703"/>
      <c r="B92" s="1577"/>
      <c r="C92" s="1584"/>
      <c r="D92" s="1578"/>
      <c r="E92" s="1590"/>
      <c r="F92" s="1590"/>
      <c r="G92" s="1590"/>
      <c r="H92" s="683"/>
      <c r="I92" s="1984"/>
      <c r="J92" s="590"/>
      <c r="K92" s="862" t="s">
        <v>2031</v>
      </c>
      <c r="L92" s="1652" t="s">
        <v>242</v>
      </c>
      <c r="M92" s="666">
        <v>600</v>
      </c>
      <c r="N92" s="1708"/>
      <c r="O92" s="1730"/>
      <c r="P92" s="1705">
        <f>Q92*S92</f>
        <v>600</v>
      </c>
      <c r="Q92" s="1706">
        <v>50</v>
      </c>
      <c r="R92" s="1707"/>
      <c r="S92" s="1707">
        <v>12</v>
      </c>
      <c r="T92" s="1731"/>
      <c r="U92" s="1702"/>
      <c r="V92" s="1702"/>
    </row>
    <row r="93" spans="1:22" ht="18" customHeight="1">
      <c r="A93" s="703"/>
      <c r="B93" s="1577"/>
      <c r="C93" s="1584"/>
      <c r="D93" s="1578"/>
      <c r="E93" s="1590"/>
      <c r="F93" s="1590"/>
      <c r="G93" s="1590"/>
      <c r="H93" s="683"/>
      <c r="I93" s="1984"/>
      <c r="J93" s="590"/>
      <c r="K93" s="862" t="s">
        <v>2032</v>
      </c>
      <c r="L93" s="1652" t="s">
        <v>242</v>
      </c>
      <c r="M93" s="666">
        <v>210</v>
      </c>
      <c r="N93" s="1708" t="s">
        <v>2168</v>
      </c>
      <c r="O93" s="1730"/>
      <c r="P93" s="1705">
        <f>Q93*R93</f>
        <v>210</v>
      </c>
      <c r="Q93" s="1706">
        <v>210</v>
      </c>
      <c r="R93" s="1707">
        <v>1</v>
      </c>
      <c r="S93" s="1707"/>
      <c r="T93" s="1731"/>
      <c r="U93" s="1702"/>
      <c r="V93" s="1702"/>
    </row>
    <row r="94" spans="1:22" ht="18" customHeight="1">
      <c r="A94" s="703"/>
      <c r="B94" s="1577"/>
      <c r="C94" s="1584"/>
      <c r="D94" s="1592"/>
      <c r="E94" s="1679"/>
      <c r="F94" s="1592"/>
      <c r="G94" s="1595"/>
      <c r="H94" s="683"/>
      <c r="I94" s="1984"/>
      <c r="J94" s="590"/>
      <c r="K94" s="862" t="s">
        <v>2033</v>
      </c>
      <c r="L94" s="1674"/>
      <c r="M94" s="666">
        <f>SUM(M95:M96)</f>
        <v>485</v>
      </c>
      <c r="N94" s="1703" t="s">
        <v>2169</v>
      </c>
      <c r="O94" s="1730">
        <f>SUM(P95:P96)</f>
        <v>485</v>
      </c>
      <c r="P94" s="1704"/>
      <c r="Q94" s="1705"/>
      <c r="R94" s="1706"/>
      <c r="S94" s="1707"/>
      <c r="T94" s="1700"/>
      <c r="U94" s="1702"/>
      <c r="V94" s="1702"/>
    </row>
    <row r="95" spans="1:22" ht="18" customHeight="1">
      <c r="A95" s="703"/>
      <c r="B95" s="1577"/>
      <c r="C95" s="1584"/>
      <c r="D95" s="1592"/>
      <c r="E95" s="1679"/>
      <c r="F95" s="1592"/>
      <c r="G95" s="1578"/>
      <c r="H95" s="683"/>
      <c r="I95" s="1984"/>
      <c r="J95" s="590"/>
      <c r="K95" s="1672" t="s">
        <v>2034</v>
      </c>
      <c r="L95" s="1674" t="s">
        <v>242</v>
      </c>
      <c r="M95" s="666">
        <v>185</v>
      </c>
      <c r="N95" s="1733" t="s">
        <v>2170</v>
      </c>
      <c r="O95" s="1704"/>
      <c r="P95" s="1705">
        <f>Q95*R95</f>
        <v>185</v>
      </c>
      <c r="Q95" s="1706">
        <v>185</v>
      </c>
      <c r="R95" s="1707">
        <v>1</v>
      </c>
      <c r="S95" s="1707"/>
      <c r="T95" s="1700"/>
      <c r="U95" s="1702"/>
      <c r="V95" s="1702"/>
    </row>
    <row r="96" spans="1:22" ht="18" customHeight="1">
      <c r="A96" s="703"/>
      <c r="B96" s="1577"/>
      <c r="C96" s="1584"/>
      <c r="D96" s="1592"/>
      <c r="E96" s="1679"/>
      <c r="F96" s="1592"/>
      <c r="G96" s="1578"/>
      <c r="H96" s="683"/>
      <c r="I96" s="1984"/>
      <c r="J96" s="590"/>
      <c r="K96" s="1672" t="s">
        <v>2035</v>
      </c>
      <c r="L96" s="1674" t="s">
        <v>242</v>
      </c>
      <c r="M96" s="666">
        <v>300</v>
      </c>
      <c r="N96" s="1733" t="s">
        <v>2171</v>
      </c>
      <c r="O96" s="1704"/>
      <c r="P96" s="1705">
        <f>Q96*R96</f>
        <v>300</v>
      </c>
      <c r="Q96" s="1706">
        <v>300</v>
      </c>
      <c r="R96" s="1707">
        <v>1</v>
      </c>
      <c r="S96" s="1707"/>
      <c r="T96" s="1700"/>
      <c r="U96" s="1702"/>
      <c r="V96" s="1702"/>
    </row>
    <row r="97" spans="1:22" ht="18" customHeight="1">
      <c r="A97" s="703"/>
      <c r="B97" s="1577"/>
      <c r="C97" s="1584"/>
      <c r="D97" s="1592"/>
      <c r="E97" s="1679"/>
      <c r="F97" s="1592"/>
      <c r="G97" s="1578"/>
      <c r="H97" s="683"/>
      <c r="I97" s="1984"/>
      <c r="J97" s="590"/>
      <c r="K97" s="862" t="s">
        <v>2036</v>
      </c>
      <c r="L97" s="1674"/>
      <c r="M97" s="666">
        <f>M98</f>
        <v>6000</v>
      </c>
      <c r="N97" s="1703" t="s">
        <v>2172</v>
      </c>
      <c r="O97" s="1704">
        <f>SUM(P98)</f>
        <v>6000</v>
      </c>
      <c r="P97" s="1705"/>
      <c r="Q97" s="1706"/>
      <c r="R97" s="1707"/>
      <c r="S97" s="1707"/>
      <c r="T97" s="1700"/>
      <c r="U97" s="1702"/>
      <c r="V97" s="1702"/>
    </row>
    <row r="98" spans="1:22" ht="18" customHeight="1">
      <c r="A98" s="703"/>
      <c r="B98" s="1577"/>
      <c r="C98" s="1584"/>
      <c r="D98" s="1592"/>
      <c r="E98" s="1679"/>
      <c r="F98" s="1592"/>
      <c r="G98" s="1578"/>
      <c r="H98" s="683"/>
      <c r="I98" s="1984"/>
      <c r="J98" s="590"/>
      <c r="K98" s="862" t="s">
        <v>2037</v>
      </c>
      <c r="L98" s="1674" t="s">
        <v>242</v>
      </c>
      <c r="M98" s="666">
        <v>6000</v>
      </c>
      <c r="N98" s="1733" t="s">
        <v>2173</v>
      </c>
      <c r="O98" s="1704"/>
      <c r="P98" s="1705">
        <f>Q98*R98</f>
        <v>6000</v>
      </c>
      <c r="Q98" s="1706">
        <v>6000</v>
      </c>
      <c r="R98" s="1707">
        <v>1</v>
      </c>
      <c r="S98" s="1707"/>
      <c r="T98" s="1700"/>
      <c r="U98" s="1702"/>
      <c r="V98" s="1702"/>
    </row>
    <row r="99" spans="1:22" ht="18" customHeight="1">
      <c r="A99" s="703"/>
      <c r="B99" s="1577"/>
      <c r="C99" s="1584"/>
      <c r="D99" s="1592"/>
      <c r="E99" s="1679"/>
      <c r="F99" s="1592"/>
      <c r="G99" s="1578"/>
      <c r="H99" s="683"/>
      <c r="I99" s="1984"/>
      <c r="J99" s="590"/>
      <c r="K99" s="862" t="s">
        <v>2038</v>
      </c>
      <c r="L99" s="1674"/>
      <c r="M99" s="666">
        <f>SUM(M100:M101)</f>
        <v>108000</v>
      </c>
      <c r="N99" s="1703" t="s">
        <v>2174</v>
      </c>
      <c r="O99" s="1714">
        <f>SUM(P100:P101)</f>
        <v>108000</v>
      </c>
      <c r="P99" s="1662"/>
      <c r="Q99" s="1734" t="s">
        <v>2175</v>
      </c>
      <c r="R99" s="1735" t="s">
        <v>2176</v>
      </c>
      <c r="S99" s="1735" t="s">
        <v>2177</v>
      </c>
      <c r="T99" s="1700"/>
      <c r="U99" s="1702"/>
      <c r="V99" s="1702"/>
    </row>
    <row r="100" spans="1:22" ht="18" customHeight="1">
      <c r="A100" s="703"/>
      <c r="B100" s="1577"/>
      <c r="C100" s="1584"/>
      <c r="D100" s="1592"/>
      <c r="E100" s="1679"/>
      <c r="F100" s="1592"/>
      <c r="G100" s="1578"/>
      <c r="H100" s="683"/>
      <c r="I100" s="1984"/>
      <c r="J100" s="590"/>
      <c r="K100" s="862" t="s">
        <v>2039</v>
      </c>
      <c r="L100" s="1674" t="s">
        <v>242</v>
      </c>
      <c r="M100" s="666">
        <v>79200</v>
      </c>
      <c r="N100" s="1733" t="s">
        <v>2137</v>
      </c>
      <c r="O100" s="1714"/>
      <c r="P100" s="1705">
        <f>Q100*R100*S100</f>
        <v>79200</v>
      </c>
      <c r="Q100" s="1706">
        <v>6600</v>
      </c>
      <c r="R100" s="1707">
        <v>10</v>
      </c>
      <c r="S100" s="1736">
        <v>1.2</v>
      </c>
      <c r="T100" s="1700"/>
      <c r="U100" s="1702"/>
      <c r="V100" s="1702"/>
    </row>
    <row r="101" spans="1:22" ht="18" customHeight="1">
      <c r="A101" s="703"/>
      <c r="B101" s="1577"/>
      <c r="C101" s="1584"/>
      <c r="D101" s="1592"/>
      <c r="E101" s="1679"/>
      <c r="F101" s="1592"/>
      <c r="G101" s="1578"/>
      <c r="H101" s="683"/>
      <c r="I101" s="1984"/>
      <c r="J101" s="590"/>
      <c r="K101" s="862" t="s">
        <v>2040</v>
      </c>
      <c r="L101" s="1674" t="s">
        <v>242</v>
      </c>
      <c r="M101" s="666">
        <v>28800</v>
      </c>
      <c r="N101" s="1733" t="s">
        <v>2137</v>
      </c>
      <c r="O101" s="1714"/>
      <c r="P101" s="1705">
        <f>Q101*R101*S101</f>
        <v>28800</v>
      </c>
      <c r="Q101" s="1706">
        <v>960</v>
      </c>
      <c r="R101" s="1707">
        <v>25</v>
      </c>
      <c r="S101" s="1736">
        <v>1.2</v>
      </c>
      <c r="T101" s="1700"/>
      <c r="U101" s="1702"/>
      <c r="V101" s="1702"/>
    </row>
    <row r="102" spans="1:22" ht="18" customHeight="1">
      <c r="A102" s="703"/>
      <c r="B102" s="1577"/>
      <c r="C102" s="1584"/>
      <c r="D102" s="1578"/>
      <c r="E102" s="1680"/>
      <c r="F102" s="1578"/>
      <c r="G102" s="1578"/>
      <c r="H102" s="683"/>
      <c r="I102" s="1984"/>
      <c r="J102" s="590"/>
      <c r="K102" s="862" t="s">
        <v>2041</v>
      </c>
      <c r="L102" s="1652"/>
      <c r="M102" s="666">
        <f>SUM(M103:M104)</f>
        <v>400</v>
      </c>
      <c r="N102" s="1703" t="s">
        <v>2178</v>
      </c>
      <c r="O102" s="1704">
        <f>SUM(P103:P104)</f>
        <v>400</v>
      </c>
      <c r="P102" s="1705"/>
      <c r="Q102" s="1706"/>
      <c r="R102" s="1707"/>
      <c r="S102" s="1707"/>
      <c r="T102" s="1701"/>
      <c r="U102" s="1702"/>
      <c r="V102" s="1702"/>
    </row>
    <row r="103" spans="1:22" ht="18" customHeight="1">
      <c r="A103" s="703"/>
      <c r="B103" s="1577"/>
      <c r="C103" s="1584"/>
      <c r="D103" s="1578"/>
      <c r="E103" s="1590"/>
      <c r="F103" s="1590"/>
      <c r="G103" s="1590"/>
      <c r="H103" s="683"/>
      <c r="I103" s="1984"/>
      <c r="J103" s="590"/>
      <c r="K103" s="862" t="s">
        <v>2042</v>
      </c>
      <c r="L103" s="1652" t="s">
        <v>242</v>
      </c>
      <c r="M103" s="666">
        <v>100</v>
      </c>
      <c r="N103" s="1708" t="s">
        <v>2179</v>
      </c>
      <c r="O103" s="1704"/>
      <c r="P103" s="1705">
        <f>Q103*R103*S103</f>
        <v>100</v>
      </c>
      <c r="Q103" s="1706">
        <v>100</v>
      </c>
      <c r="R103" s="1707">
        <v>1</v>
      </c>
      <c r="S103" s="1707">
        <v>1</v>
      </c>
      <c r="T103" s="1701"/>
      <c r="U103" s="1702"/>
      <c r="V103" s="1702"/>
    </row>
    <row r="104" spans="1:22" ht="18" customHeight="1">
      <c r="A104" s="703"/>
      <c r="B104" s="1577"/>
      <c r="C104" s="1584"/>
      <c r="D104" s="1578"/>
      <c r="E104" s="1590"/>
      <c r="F104" s="1578"/>
      <c r="G104" s="1594"/>
      <c r="H104" s="1864"/>
      <c r="I104" s="1987"/>
      <c r="J104" s="590"/>
      <c r="K104" s="942" t="s">
        <v>2043</v>
      </c>
      <c r="L104" s="1639" t="s">
        <v>242</v>
      </c>
      <c r="M104" s="1078">
        <v>300</v>
      </c>
      <c r="N104" s="1708" t="s">
        <v>2180</v>
      </c>
      <c r="O104" s="1704"/>
      <c r="P104" s="1705">
        <f>Q104*R104*S104</f>
        <v>300</v>
      </c>
      <c r="Q104" s="1706">
        <v>300</v>
      </c>
      <c r="R104" s="1707">
        <v>1</v>
      </c>
      <c r="S104" s="1707">
        <v>1</v>
      </c>
      <c r="T104" s="1701"/>
      <c r="U104" s="1702"/>
      <c r="V104" s="1702"/>
    </row>
    <row r="105" spans="1:22" ht="18" customHeight="1">
      <c r="A105" s="703"/>
      <c r="B105" s="1577"/>
      <c r="C105" s="1584"/>
      <c r="D105" s="1578"/>
      <c r="E105" s="1590"/>
      <c r="F105" s="1578"/>
      <c r="G105" s="1578" t="s">
        <v>993</v>
      </c>
      <c r="H105" s="683">
        <f>M105</f>
        <v>2100</v>
      </c>
      <c r="I105" s="1984">
        <v>2100</v>
      </c>
      <c r="J105" s="594">
        <f>H105-I105</f>
        <v>0</v>
      </c>
      <c r="K105" s="1651" t="s">
        <v>1450</v>
      </c>
      <c r="L105" s="1652"/>
      <c r="M105" s="1824">
        <f>M106</f>
        <v>2100</v>
      </c>
      <c r="N105" s="1737"/>
      <c r="O105" s="1722">
        <f>SUM(P107:P109)</f>
        <v>2100</v>
      </c>
      <c r="P105" s="1705"/>
      <c r="Q105" s="1706"/>
      <c r="R105" s="1707"/>
      <c r="S105" s="1707"/>
      <c r="T105" s="1701"/>
      <c r="U105" s="1702"/>
      <c r="V105" s="1702"/>
    </row>
    <row r="106" spans="1:22" ht="18" customHeight="1">
      <c r="A106" s="703"/>
      <c r="B106" s="1577"/>
      <c r="C106" s="1584"/>
      <c r="D106" s="1578"/>
      <c r="E106" s="1590"/>
      <c r="F106" s="1590"/>
      <c r="G106" s="1590"/>
      <c r="H106" s="683"/>
      <c r="I106" s="1984"/>
      <c r="J106" s="590"/>
      <c r="K106" s="862" t="s">
        <v>2044</v>
      </c>
      <c r="L106" s="1652"/>
      <c r="M106" s="1824">
        <f>SUM(M107:M109)</f>
        <v>2100</v>
      </c>
      <c r="N106" s="1738" t="s">
        <v>2181</v>
      </c>
      <c r="O106" s="1722"/>
      <c r="P106" s="1705"/>
      <c r="Q106" s="1706"/>
      <c r="R106" s="1707"/>
      <c r="S106" s="1707"/>
      <c r="T106" s="1701"/>
      <c r="U106" s="1702"/>
      <c r="V106" s="1702"/>
    </row>
    <row r="107" spans="1:22" ht="18" customHeight="1">
      <c r="A107" s="703"/>
      <c r="B107" s="1577"/>
      <c r="C107" s="1584"/>
      <c r="D107" s="1578"/>
      <c r="E107" s="1590"/>
      <c r="F107" s="1590"/>
      <c r="G107" s="1590"/>
      <c r="H107" s="683"/>
      <c r="I107" s="1984"/>
      <c r="J107" s="590"/>
      <c r="K107" s="862" t="s">
        <v>2045</v>
      </c>
      <c r="L107" s="1652" t="s">
        <v>242</v>
      </c>
      <c r="M107" s="666">
        <v>600</v>
      </c>
      <c r="N107" s="1715" t="s">
        <v>2182</v>
      </c>
      <c r="O107" s="1704"/>
      <c r="P107" s="1705">
        <f>Q107*R107*S107</f>
        <v>600</v>
      </c>
      <c r="Q107" s="1706">
        <v>300</v>
      </c>
      <c r="R107" s="1707">
        <v>1</v>
      </c>
      <c r="S107" s="1707">
        <v>2</v>
      </c>
      <c r="T107" s="1701"/>
      <c r="U107" s="1702"/>
      <c r="V107" s="1702"/>
    </row>
    <row r="108" spans="1:22" ht="18" customHeight="1">
      <c r="A108" s="703"/>
      <c r="B108" s="1577"/>
      <c r="C108" s="1584"/>
      <c r="D108" s="1578"/>
      <c r="E108" s="1590"/>
      <c r="F108" s="1590"/>
      <c r="G108" s="1590"/>
      <c r="H108" s="683"/>
      <c r="I108" s="1984"/>
      <c r="J108" s="590"/>
      <c r="K108" s="862" t="s">
        <v>2046</v>
      </c>
      <c r="L108" s="1652" t="s">
        <v>242</v>
      </c>
      <c r="M108" s="666">
        <v>510</v>
      </c>
      <c r="N108" s="1715" t="s">
        <v>2183</v>
      </c>
      <c r="O108" s="1704"/>
      <c r="P108" s="1739">
        <f>Q108*R108*S108*T108</f>
        <v>510</v>
      </c>
      <c r="Q108" s="1706">
        <v>1.7</v>
      </c>
      <c r="R108" s="1707">
        <v>1</v>
      </c>
      <c r="S108" s="1707">
        <v>10</v>
      </c>
      <c r="T108" s="1701">
        <v>30</v>
      </c>
      <c r="U108" s="1702"/>
      <c r="V108" s="1702"/>
    </row>
    <row r="109" spans="1:22" ht="18" customHeight="1">
      <c r="A109" s="703"/>
      <c r="B109" s="1577"/>
      <c r="C109" s="1584"/>
      <c r="D109" s="1578"/>
      <c r="E109" s="1590"/>
      <c r="F109" s="1590"/>
      <c r="G109" s="1590"/>
      <c r="H109" s="683"/>
      <c r="I109" s="1984"/>
      <c r="J109" s="590"/>
      <c r="K109" s="942" t="s">
        <v>2047</v>
      </c>
      <c r="L109" s="1639" t="s">
        <v>242</v>
      </c>
      <c r="M109" s="666">
        <v>990</v>
      </c>
      <c r="N109" s="1740" t="s">
        <v>2184</v>
      </c>
      <c r="O109" s="1704"/>
      <c r="P109" s="1739">
        <f>Q109*R109*S109*T109</f>
        <v>990</v>
      </c>
      <c r="Q109" s="1706">
        <v>6.6000000000000003E-2</v>
      </c>
      <c r="R109" s="1707">
        <v>1</v>
      </c>
      <c r="S109" s="1707">
        <v>1</v>
      </c>
      <c r="T109" s="1701">
        <v>15000</v>
      </c>
      <c r="U109" s="1702"/>
      <c r="V109" s="1702"/>
    </row>
    <row r="110" spans="1:22" ht="18" customHeight="1">
      <c r="A110" s="703"/>
      <c r="B110" s="1577"/>
      <c r="C110" s="1584"/>
      <c r="D110" s="1578"/>
      <c r="E110" s="1590"/>
      <c r="F110" s="1596" t="s">
        <v>994</v>
      </c>
      <c r="G110" s="1597"/>
      <c r="H110" s="1868">
        <f>H111</f>
        <v>7440</v>
      </c>
      <c r="I110" s="1988">
        <v>7440</v>
      </c>
      <c r="J110" s="597">
        <f>H110-I110</f>
        <v>0</v>
      </c>
      <c r="K110" s="1642"/>
      <c r="L110" s="1643"/>
      <c r="M110" s="668"/>
      <c r="N110" s="1708"/>
      <c r="O110" s="1704"/>
      <c r="P110" s="1705"/>
      <c r="Q110" s="1706"/>
      <c r="R110" s="1707"/>
      <c r="S110" s="1707"/>
      <c r="T110" s="1741"/>
      <c r="U110" s="1702"/>
      <c r="V110" s="1702"/>
    </row>
    <row r="111" spans="1:22" ht="18" customHeight="1">
      <c r="A111" s="703"/>
      <c r="B111" s="1577"/>
      <c r="C111" s="1584"/>
      <c r="D111" s="1578"/>
      <c r="E111" s="1590"/>
      <c r="F111" s="1598"/>
      <c r="G111" s="1598" t="s">
        <v>1231</v>
      </c>
      <c r="H111" s="683">
        <f>M111</f>
        <v>7440</v>
      </c>
      <c r="I111" s="1986">
        <v>7440</v>
      </c>
      <c r="J111" s="594">
        <f>H111-I111</f>
        <v>0</v>
      </c>
      <c r="K111" s="1651" t="s">
        <v>995</v>
      </c>
      <c r="L111" s="1635"/>
      <c r="M111" s="1824">
        <f>M112+M113</f>
        <v>7440</v>
      </c>
      <c r="N111" s="1696"/>
      <c r="O111" s="1722">
        <f>SUM(P112:P113)</f>
        <v>7440</v>
      </c>
      <c r="P111" s="1705"/>
      <c r="Q111" s="1706"/>
      <c r="R111" s="1707"/>
      <c r="S111" s="1707"/>
      <c r="T111" s="1741"/>
      <c r="U111" s="1702"/>
      <c r="V111" s="1702"/>
    </row>
    <row r="112" spans="1:22" ht="18" customHeight="1">
      <c r="A112" s="1586"/>
      <c r="B112" s="1587"/>
      <c r="C112" s="1673"/>
      <c r="D112" s="1588"/>
      <c r="E112" s="1589"/>
      <c r="F112" s="1589"/>
      <c r="G112" s="1589"/>
      <c r="H112" s="683"/>
      <c r="I112" s="1984"/>
      <c r="J112" s="590"/>
      <c r="K112" s="862" t="s">
        <v>2048</v>
      </c>
      <c r="L112" s="1652" t="s">
        <v>242</v>
      </c>
      <c r="M112" s="666">
        <v>2400</v>
      </c>
      <c r="N112" s="1742" t="s">
        <v>2185</v>
      </c>
      <c r="O112" s="1704"/>
      <c r="P112" s="1662">
        <f>Q112*R112*S112*T112</f>
        <v>2400</v>
      </c>
      <c r="Q112" s="1709">
        <v>20</v>
      </c>
      <c r="R112" s="1640">
        <v>5</v>
      </c>
      <c r="S112" s="1640">
        <v>2</v>
      </c>
      <c r="T112" s="1743">
        <v>12</v>
      </c>
      <c r="U112" s="1711"/>
      <c r="V112" s="1711"/>
    </row>
    <row r="113" spans="1:22" ht="18" customHeight="1">
      <c r="A113" s="1586"/>
      <c r="B113" s="1587"/>
      <c r="C113" s="1673"/>
      <c r="D113" s="1588"/>
      <c r="E113" s="1589"/>
      <c r="F113" s="1599"/>
      <c r="G113" s="1599"/>
      <c r="H113" s="1864"/>
      <c r="I113" s="1987"/>
      <c r="J113" s="590"/>
      <c r="K113" s="942" t="s">
        <v>2049</v>
      </c>
      <c r="L113" s="1639" t="s">
        <v>242</v>
      </c>
      <c r="M113" s="1078">
        <v>5040</v>
      </c>
      <c r="N113" s="1744" t="s">
        <v>2186</v>
      </c>
      <c r="O113" s="1704"/>
      <c r="P113" s="1662">
        <f>Q113*R113*S113*T113</f>
        <v>5040</v>
      </c>
      <c r="Q113" s="1709">
        <v>105</v>
      </c>
      <c r="R113" s="1640">
        <v>4</v>
      </c>
      <c r="S113" s="1640">
        <v>3</v>
      </c>
      <c r="T113" s="1743">
        <v>4</v>
      </c>
      <c r="U113" s="1711"/>
      <c r="V113" s="1711"/>
    </row>
    <row r="114" spans="1:22" ht="18" customHeight="1">
      <c r="A114" s="703"/>
      <c r="B114" s="1577"/>
      <c r="C114" s="1584"/>
      <c r="D114" s="1578"/>
      <c r="E114" s="1590"/>
      <c r="F114" s="1594" t="s">
        <v>1943</v>
      </c>
      <c r="G114" s="1600"/>
      <c r="H114" s="1868">
        <f>H115</f>
        <v>5520</v>
      </c>
      <c r="I114" s="1987">
        <v>5520</v>
      </c>
      <c r="J114" s="597">
        <f>H114-I114</f>
        <v>0</v>
      </c>
      <c r="K114" s="1644"/>
      <c r="L114" s="1645"/>
      <c r="M114" s="668"/>
      <c r="N114" s="1745"/>
      <c r="O114" s="1746">
        <f>SUM(O115:O116)</f>
        <v>5520</v>
      </c>
      <c r="P114" s="1707"/>
      <c r="Q114" s="1747"/>
      <c r="R114" s="1707"/>
      <c r="S114" s="1707"/>
      <c r="T114" s="1741"/>
      <c r="U114" s="1702"/>
      <c r="V114" s="1702"/>
    </row>
    <row r="115" spans="1:22" ht="18" customHeight="1">
      <c r="A115" s="703"/>
      <c r="B115" s="1577"/>
      <c r="C115" s="1584"/>
      <c r="D115" s="1578"/>
      <c r="E115" s="1590"/>
      <c r="F115" s="1578"/>
      <c r="G115" s="1591" t="s">
        <v>1243</v>
      </c>
      <c r="H115" s="683">
        <f>M115</f>
        <v>5520</v>
      </c>
      <c r="I115" s="1986">
        <v>5520</v>
      </c>
      <c r="J115" s="594">
        <f>H115-I115</f>
        <v>0</v>
      </c>
      <c r="K115" s="1651" t="s">
        <v>998</v>
      </c>
      <c r="L115" s="1646"/>
      <c r="M115" s="1824">
        <f>M116</f>
        <v>5520</v>
      </c>
      <c r="N115" s="1748"/>
      <c r="O115" s="1722">
        <f>P116</f>
        <v>5520</v>
      </c>
      <c r="P115" s="1707"/>
      <c r="Q115" s="1749" t="s">
        <v>2187</v>
      </c>
      <c r="R115" s="1750"/>
      <c r="S115" s="1750" t="s">
        <v>2188</v>
      </c>
      <c r="T115" s="1751" t="s">
        <v>2189</v>
      </c>
      <c r="U115" s="1752" t="s">
        <v>2190</v>
      </c>
      <c r="V115" s="1753" t="s">
        <v>2188</v>
      </c>
    </row>
    <row r="116" spans="1:22" ht="18" customHeight="1">
      <c r="A116" s="703"/>
      <c r="B116" s="1577"/>
      <c r="C116" s="1584"/>
      <c r="D116" s="1578"/>
      <c r="E116" s="1590"/>
      <c r="F116" s="1578"/>
      <c r="G116" s="1578"/>
      <c r="H116" s="683"/>
      <c r="I116" s="1987"/>
      <c r="J116" s="590"/>
      <c r="K116" s="1647" t="s">
        <v>2050</v>
      </c>
      <c r="L116" s="1648" t="s">
        <v>242</v>
      </c>
      <c r="M116" s="666">
        <v>5520</v>
      </c>
      <c r="N116" s="1754" t="s">
        <v>2191</v>
      </c>
      <c r="O116" s="1704"/>
      <c r="P116" s="1705">
        <f>(Q116*S116)+(T116*U116*V116)</f>
        <v>5520</v>
      </c>
      <c r="Q116" s="1706">
        <v>400</v>
      </c>
      <c r="R116" s="1707"/>
      <c r="S116" s="1707">
        <v>12</v>
      </c>
      <c r="T116" s="1700">
        <v>5</v>
      </c>
      <c r="U116" s="1755">
        <v>12</v>
      </c>
      <c r="V116" s="1756">
        <v>12</v>
      </c>
    </row>
    <row r="117" spans="1:22" ht="18" customHeight="1">
      <c r="A117" s="1572"/>
      <c r="B117" s="1575"/>
      <c r="C117" s="1601"/>
      <c r="D117" s="1569" t="s">
        <v>1944</v>
      </c>
      <c r="E117" s="1570"/>
      <c r="F117" s="1570"/>
      <c r="G117" s="1571"/>
      <c r="H117" s="1875">
        <f>H118</f>
        <v>1283203</v>
      </c>
      <c r="I117" s="1936">
        <v>2812212</v>
      </c>
      <c r="J117" s="601">
        <f>H117-I117</f>
        <v>-1529009</v>
      </c>
      <c r="K117" s="1681"/>
      <c r="L117" s="1682"/>
      <c r="M117" s="668"/>
      <c r="N117" s="1757"/>
      <c r="O117" s="1758"/>
      <c r="P117" s="1759"/>
      <c r="Q117" s="1760"/>
      <c r="R117" s="1760"/>
      <c r="S117" s="1760"/>
      <c r="T117" s="1761"/>
      <c r="U117" s="1762"/>
      <c r="V117" s="1762"/>
    </row>
    <row r="118" spans="1:22" ht="18" customHeight="1">
      <c r="A118" s="703"/>
      <c r="B118" s="1577"/>
      <c r="C118" s="1577"/>
      <c r="D118" s="1598"/>
      <c r="E118" s="1569" t="s">
        <v>987</v>
      </c>
      <c r="F118" s="1579"/>
      <c r="G118" s="1597"/>
      <c r="H118" s="1866">
        <f>H119+H137+H142+H152</f>
        <v>1283203</v>
      </c>
      <c r="I118" s="1981">
        <v>2812212</v>
      </c>
      <c r="J118" s="667">
        <f t="shared" ref="J118:J120" si="2">H118-I118</f>
        <v>-1529009</v>
      </c>
      <c r="K118" s="1829"/>
      <c r="L118" s="1649"/>
      <c r="M118" s="668"/>
      <c r="N118" s="1763"/>
      <c r="O118" s="1764"/>
      <c r="P118" s="1765"/>
      <c r="Q118" s="1766"/>
      <c r="R118" s="1767"/>
      <c r="S118" s="1767"/>
      <c r="T118" s="1741"/>
      <c r="U118" s="1702"/>
      <c r="V118" s="1702"/>
    </row>
    <row r="119" spans="1:22" ht="18" customHeight="1">
      <c r="A119" s="703"/>
      <c r="B119" s="1577"/>
      <c r="C119" s="1584"/>
      <c r="D119" s="1683"/>
      <c r="E119" s="1591"/>
      <c r="F119" s="1594" t="s">
        <v>1945</v>
      </c>
      <c r="G119" s="1600"/>
      <c r="H119" s="683">
        <f>H120</f>
        <v>306455</v>
      </c>
      <c r="I119" s="1987">
        <v>612612</v>
      </c>
      <c r="J119" s="590">
        <f t="shared" si="2"/>
        <v>-306157</v>
      </c>
      <c r="K119" s="942"/>
      <c r="L119" s="1639"/>
      <c r="M119" s="668"/>
      <c r="N119" s="1708"/>
      <c r="O119" s="1704"/>
      <c r="P119" s="1705"/>
      <c r="Q119" s="1706"/>
      <c r="R119" s="1707"/>
      <c r="S119" s="1707"/>
      <c r="T119" s="1741"/>
      <c r="U119" s="1702"/>
      <c r="V119" s="1702"/>
    </row>
    <row r="120" spans="1:22" ht="18" customHeight="1">
      <c r="A120" s="703"/>
      <c r="B120" s="1577"/>
      <c r="C120" s="1584"/>
      <c r="D120" s="1602"/>
      <c r="E120" s="1578"/>
      <c r="F120" s="1578"/>
      <c r="G120" s="1578" t="s">
        <v>1946</v>
      </c>
      <c r="H120" s="1876">
        <f>M120</f>
        <v>306455</v>
      </c>
      <c r="I120" s="1984">
        <v>612612</v>
      </c>
      <c r="J120" s="594">
        <f t="shared" si="2"/>
        <v>-306157</v>
      </c>
      <c r="K120" s="1651" t="s">
        <v>1503</v>
      </c>
      <c r="L120" s="1652"/>
      <c r="M120" s="1824">
        <f>M121+M122+M123+M124+M125+M126+M127+M128+M129+M130+M132+M131+M133+M134+M135+M136</f>
        <v>306455</v>
      </c>
      <c r="N120" s="1768"/>
      <c r="O120" s="1722">
        <f>SUM(P121:P136)</f>
        <v>306455</v>
      </c>
      <c r="P120" s="1705"/>
      <c r="Q120" s="1706"/>
      <c r="R120" s="1707"/>
      <c r="S120" s="1707"/>
      <c r="T120" s="1741"/>
      <c r="U120" s="1702"/>
      <c r="V120" s="1702"/>
    </row>
    <row r="121" spans="1:22" ht="18" customHeight="1">
      <c r="A121" s="703"/>
      <c r="B121" s="1577"/>
      <c r="C121" s="1584"/>
      <c r="D121" s="1578"/>
      <c r="E121" s="1590"/>
      <c r="F121" s="1590"/>
      <c r="G121" s="1590"/>
      <c r="H121" s="683"/>
      <c r="I121" s="1984"/>
      <c r="J121" s="590"/>
      <c r="K121" s="862" t="s">
        <v>2051</v>
      </c>
      <c r="L121" s="1652" t="s">
        <v>242</v>
      </c>
      <c r="M121" s="666">
        <v>26000</v>
      </c>
      <c r="N121" s="1738" t="s">
        <v>2192</v>
      </c>
      <c r="O121" s="1704"/>
      <c r="P121" s="1769">
        <f t="shared" ref="P121:P135" si="3">Q121*R121*S121*0.5</f>
        <v>26000</v>
      </c>
      <c r="Q121" s="1770">
        <v>0.52</v>
      </c>
      <c r="R121" s="1707">
        <v>312.5</v>
      </c>
      <c r="S121" s="1707">
        <v>320</v>
      </c>
      <c r="T121" s="1741"/>
      <c r="U121" s="1702"/>
      <c r="V121" s="1702"/>
    </row>
    <row r="122" spans="1:22" ht="18" customHeight="1">
      <c r="A122" s="703"/>
      <c r="B122" s="1577"/>
      <c r="C122" s="1584"/>
      <c r="D122" s="1578"/>
      <c r="E122" s="1590"/>
      <c r="F122" s="1590"/>
      <c r="G122" s="1590"/>
      <c r="H122" s="683"/>
      <c r="I122" s="1984"/>
      <c r="J122" s="590"/>
      <c r="K122" s="862" t="s">
        <v>2052</v>
      </c>
      <c r="L122" s="1652" t="s">
        <v>242</v>
      </c>
      <c r="M122" s="666">
        <v>73260</v>
      </c>
      <c r="N122" s="1771" t="s">
        <v>2193</v>
      </c>
      <c r="O122" s="1704"/>
      <c r="P122" s="1769">
        <f t="shared" si="3"/>
        <v>73260</v>
      </c>
      <c r="Q122" s="1770">
        <v>8.14E-2</v>
      </c>
      <c r="R122" s="1707">
        <v>5625</v>
      </c>
      <c r="S122" s="1707">
        <v>320</v>
      </c>
      <c r="T122" s="1741"/>
      <c r="U122" s="1702"/>
      <c r="V122" s="1702"/>
    </row>
    <row r="123" spans="1:22" ht="18" customHeight="1">
      <c r="A123" s="703"/>
      <c r="B123" s="1577"/>
      <c r="C123" s="1584"/>
      <c r="D123" s="1578"/>
      <c r="E123" s="1590"/>
      <c r="F123" s="1590"/>
      <c r="G123" s="1590"/>
      <c r="H123" s="683"/>
      <c r="I123" s="1984"/>
      <c r="J123" s="590"/>
      <c r="K123" s="862" t="s">
        <v>2053</v>
      </c>
      <c r="L123" s="1652" t="s">
        <v>242</v>
      </c>
      <c r="M123" s="666">
        <v>28500</v>
      </c>
      <c r="N123" s="1738" t="s">
        <v>2194</v>
      </c>
      <c r="O123" s="1704"/>
      <c r="P123" s="1769">
        <f t="shared" si="3"/>
        <v>28500</v>
      </c>
      <c r="Q123" s="1770">
        <v>2.85</v>
      </c>
      <c r="R123" s="1707">
        <v>62.5</v>
      </c>
      <c r="S123" s="1707">
        <v>320</v>
      </c>
      <c r="T123" s="1741"/>
      <c r="U123" s="1702"/>
      <c r="V123" s="1702"/>
    </row>
    <row r="124" spans="1:22" ht="18" customHeight="1">
      <c r="A124" s="703"/>
      <c r="B124" s="1577"/>
      <c r="C124" s="1584"/>
      <c r="D124" s="1578"/>
      <c r="E124" s="1590"/>
      <c r="F124" s="1590"/>
      <c r="G124" s="1590"/>
      <c r="H124" s="683"/>
      <c r="I124" s="1984"/>
      <c r="J124" s="590"/>
      <c r="K124" s="862" t="s">
        <v>2054</v>
      </c>
      <c r="L124" s="1652" t="s">
        <v>242</v>
      </c>
      <c r="M124" s="666">
        <v>3577</v>
      </c>
      <c r="N124" s="1738" t="s">
        <v>2195</v>
      </c>
      <c r="O124" s="1704"/>
      <c r="P124" s="1769">
        <f t="shared" si="3"/>
        <v>3576.9999999999995</v>
      </c>
      <c r="Q124" s="1770">
        <v>2.8</v>
      </c>
      <c r="R124" s="1707">
        <v>7</v>
      </c>
      <c r="S124" s="1707">
        <v>365</v>
      </c>
      <c r="T124" s="1741"/>
      <c r="U124" s="1702"/>
      <c r="V124" s="1702"/>
    </row>
    <row r="125" spans="1:22" ht="18" customHeight="1">
      <c r="A125" s="703"/>
      <c r="B125" s="1577"/>
      <c r="C125" s="1584"/>
      <c r="D125" s="1578"/>
      <c r="E125" s="1590"/>
      <c r="F125" s="1590"/>
      <c r="G125" s="1590"/>
      <c r="H125" s="683"/>
      <c r="I125" s="1984"/>
      <c r="J125" s="590"/>
      <c r="K125" s="862" t="s">
        <v>2055</v>
      </c>
      <c r="L125" s="1652" t="s">
        <v>242</v>
      </c>
      <c r="M125" s="666">
        <v>2296</v>
      </c>
      <c r="N125" s="1738" t="s">
        <v>2196</v>
      </c>
      <c r="O125" s="1704"/>
      <c r="P125" s="1769">
        <f t="shared" si="3"/>
        <v>2295.9999999999995</v>
      </c>
      <c r="Q125" s="1770">
        <v>4.0999999999999996</v>
      </c>
      <c r="R125" s="1707">
        <v>3.5</v>
      </c>
      <c r="S125" s="1707">
        <v>320</v>
      </c>
      <c r="T125" s="1741"/>
      <c r="U125" s="1702"/>
      <c r="V125" s="1702"/>
    </row>
    <row r="126" spans="1:22" ht="18" customHeight="1">
      <c r="A126" s="703"/>
      <c r="B126" s="1577"/>
      <c r="C126" s="1584"/>
      <c r="D126" s="1578"/>
      <c r="E126" s="1590"/>
      <c r="F126" s="1590"/>
      <c r="G126" s="1590"/>
      <c r="H126" s="683"/>
      <c r="I126" s="1984"/>
      <c r="J126" s="590"/>
      <c r="K126" s="1684" t="s">
        <v>2056</v>
      </c>
      <c r="L126" s="1652" t="s">
        <v>242</v>
      </c>
      <c r="M126" s="666">
        <v>2240</v>
      </c>
      <c r="N126" s="1738" t="s">
        <v>2197</v>
      </c>
      <c r="O126" s="1704"/>
      <c r="P126" s="1769">
        <f t="shared" si="3"/>
        <v>2240</v>
      </c>
      <c r="Q126" s="1770">
        <v>4</v>
      </c>
      <c r="R126" s="1707">
        <v>3.5</v>
      </c>
      <c r="S126" s="1707">
        <v>320</v>
      </c>
      <c r="T126" s="1741"/>
      <c r="U126" s="1702"/>
      <c r="V126" s="1702"/>
    </row>
    <row r="127" spans="1:22" ht="18" customHeight="1">
      <c r="A127" s="703"/>
      <c r="B127" s="1577"/>
      <c r="C127" s="1584"/>
      <c r="D127" s="1578"/>
      <c r="E127" s="1590"/>
      <c r="F127" s="1590"/>
      <c r="G127" s="1590"/>
      <c r="H127" s="683"/>
      <c r="I127" s="1984"/>
      <c r="J127" s="590"/>
      <c r="K127" s="1684" t="s">
        <v>2057</v>
      </c>
      <c r="L127" s="1652" t="s">
        <v>242</v>
      </c>
      <c r="M127" s="666">
        <v>800</v>
      </c>
      <c r="N127" s="1738" t="s">
        <v>2198</v>
      </c>
      <c r="O127" s="1704"/>
      <c r="P127" s="1769">
        <f t="shared" si="3"/>
        <v>800</v>
      </c>
      <c r="Q127" s="1770">
        <v>5</v>
      </c>
      <c r="R127" s="1707">
        <v>1</v>
      </c>
      <c r="S127" s="1707">
        <v>320</v>
      </c>
      <c r="T127" s="1741"/>
      <c r="U127" s="1702"/>
      <c r="V127" s="1702"/>
    </row>
    <row r="128" spans="1:22" ht="18" customHeight="1">
      <c r="A128" s="1603"/>
      <c r="B128" s="1604"/>
      <c r="C128" s="1605"/>
      <c r="D128" s="1578"/>
      <c r="E128" s="1590"/>
      <c r="F128" s="1590"/>
      <c r="G128" s="1590"/>
      <c r="H128" s="683"/>
      <c r="I128" s="1984"/>
      <c r="J128" s="590"/>
      <c r="K128" s="862" t="s">
        <v>2058</v>
      </c>
      <c r="L128" s="1652" t="s">
        <v>242</v>
      </c>
      <c r="M128" s="666">
        <v>48384</v>
      </c>
      <c r="N128" s="1738" t="s">
        <v>2199</v>
      </c>
      <c r="O128" s="1704"/>
      <c r="P128" s="1769">
        <f t="shared" si="3"/>
        <v>48384.000000000007</v>
      </c>
      <c r="Q128" s="1770">
        <v>1.8</v>
      </c>
      <c r="R128" s="1707">
        <v>168</v>
      </c>
      <c r="S128" s="1707">
        <v>320</v>
      </c>
      <c r="T128" s="1772"/>
      <c r="U128" s="1773"/>
      <c r="V128" s="1773"/>
    </row>
    <row r="129" spans="1:22" ht="18" customHeight="1">
      <c r="A129" s="703"/>
      <c r="B129" s="1577"/>
      <c r="C129" s="1584"/>
      <c r="D129" s="1578"/>
      <c r="E129" s="1590"/>
      <c r="F129" s="1590"/>
      <c r="G129" s="1590"/>
      <c r="H129" s="683"/>
      <c r="I129" s="1984"/>
      <c r="J129" s="590"/>
      <c r="K129" s="862" t="s">
        <v>2059</v>
      </c>
      <c r="L129" s="1652" t="s">
        <v>464</v>
      </c>
      <c r="M129" s="666">
        <v>14288</v>
      </c>
      <c r="N129" s="1738" t="s">
        <v>2200</v>
      </c>
      <c r="O129" s="1714"/>
      <c r="P129" s="1769">
        <f t="shared" si="3"/>
        <v>14288</v>
      </c>
      <c r="Q129" s="1770">
        <v>0.47</v>
      </c>
      <c r="R129" s="1707">
        <v>190</v>
      </c>
      <c r="S129" s="1707">
        <v>320</v>
      </c>
      <c r="T129" s="1741"/>
      <c r="U129" s="1702"/>
      <c r="V129" s="1702"/>
    </row>
    <row r="130" spans="1:22" ht="18" customHeight="1">
      <c r="A130" s="1603"/>
      <c r="B130" s="1604"/>
      <c r="C130" s="1605"/>
      <c r="D130" s="1578"/>
      <c r="E130" s="1590"/>
      <c r="F130" s="1590"/>
      <c r="G130" s="1590"/>
      <c r="H130" s="683"/>
      <c r="I130" s="1984"/>
      <c r="J130" s="590"/>
      <c r="K130" s="862" t="s">
        <v>2060</v>
      </c>
      <c r="L130" s="1652" t="s">
        <v>242</v>
      </c>
      <c r="M130" s="666">
        <v>2052</v>
      </c>
      <c r="N130" s="1738" t="s">
        <v>2201</v>
      </c>
      <c r="O130" s="1714"/>
      <c r="P130" s="1769">
        <f t="shared" si="3"/>
        <v>2052</v>
      </c>
      <c r="Q130" s="1770">
        <v>0.19</v>
      </c>
      <c r="R130" s="1707">
        <v>60</v>
      </c>
      <c r="S130" s="1707">
        <v>360</v>
      </c>
      <c r="T130" s="1772"/>
      <c r="U130" s="1773"/>
      <c r="V130" s="1773"/>
    </row>
    <row r="131" spans="1:22" ht="18" customHeight="1">
      <c r="A131" s="703"/>
      <c r="B131" s="1577"/>
      <c r="C131" s="1584"/>
      <c r="D131" s="1578"/>
      <c r="E131" s="1590"/>
      <c r="F131" s="1590"/>
      <c r="G131" s="1590"/>
      <c r="H131" s="683"/>
      <c r="I131" s="1984"/>
      <c r="J131" s="590"/>
      <c r="K131" s="862" t="s">
        <v>2061</v>
      </c>
      <c r="L131" s="1652" t="s">
        <v>242</v>
      </c>
      <c r="M131" s="666">
        <v>84132</v>
      </c>
      <c r="N131" s="1738" t="s">
        <v>2202</v>
      </c>
      <c r="O131" s="1704"/>
      <c r="P131" s="1769">
        <f t="shared" si="3"/>
        <v>84132</v>
      </c>
      <c r="Q131" s="1770">
        <v>4.0999999999999996</v>
      </c>
      <c r="R131" s="1707">
        <v>114</v>
      </c>
      <c r="S131" s="1707">
        <v>360</v>
      </c>
      <c r="T131" s="1741"/>
      <c r="U131" s="1702"/>
      <c r="V131" s="1702"/>
    </row>
    <row r="132" spans="1:22" ht="18" customHeight="1">
      <c r="A132" s="703"/>
      <c r="B132" s="1577"/>
      <c r="C132" s="1584"/>
      <c r="D132" s="1578"/>
      <c r="E132" s="1680"/>
      <c r="F132" s="1602"/>
      <c r="G132" s="1578"/>
      <c r="H132" s="683"/>
      <c r="I132" s="1984"/>
      <c r="J132" s="590"/>
      <c r="K132" s="862" t="s">
        <v>2062</v>
      </c>
      <c r="L132" s="1652" t="s">
        <v>242</v>
      </c>
      <c r="M132" s="666">
        <v>5184</v>
      </c>
      <c r="N132" s="1738" t="s">
        <v>2203</v>
      </c>
      <c r="O132" s="1714"/>
      <c r="P132" s="1769">
        <f t="shared" si="3"/>
        <v>5184</v>
      </c>
      <c r="Q132" s="1770">
        <v>3.2</v>
      </c>
      <c r="R132" s="1707">
        <v>9</v>
      </c>
      <c r="S132" s="1707">
        <v>360</v>
      </c>
      <c r="T132" s="1741"/>
      <c r="U132" s="1702"/>
      <c r="V132" s="1702"/>
    </row>
    <row r="133" spans="1:22" ht="18" customHeight="1">
      <c r="A133" s="703"/>
      <c r="B133" s="1577"/>
      <c r="C133" s="1584"/>
      <c r="D133" s="1578"/>
      <c r="E133" s="1590"/>
      <c r="F133" s="1590"/>
      <c r="G133" s="1590"/>
      <c r="H133" s="683"/>
      <c r="I133" s="1984"/>
      <c r="J133" s="590"/>
      <c r="K133" s="862" t="s">
        <v>2063</v>
      </c>
      <c r="L133" s="1652" t="s">
        <v>464</v>
      </c>
      <c r="M133" s="666">
        <v>3024</v>
      </c>
      <c r="N133" s="1738" t="s">
        <v>2204</v>
      </c>
      <c r="O133" s="1714"/>
      <c r="P133" s="1769">
        <f t="shared" si="3"/>
        <v>3024</v>
      </c>
      <c r="Q133" s="1770">
        <v>0.28000000000000003</v>
      </c>
      <c r="R133" s="1707">
        <v>60</v>
      </c>
      <c r="S133" s="1707">
        <v>360</v>
      </c>
      <c r="T133" s="1741"/>
      <c r="U133" s="1702"/>
      <c r="V133" s="1702"/>
    </row>
    <row r="134" spans="1:22" ht="18" customHeight="1">
      <c r="A134" s="703"/>
      <c r="B134" s="1577"/>
      <c r="C134" s="1584"/>
      <c r="D134" s="1578"/>
      <c r="E134" s="1590"/>
      <c r="F134" s="1590"/>
      <c r="G134" s="1590"/>
      <c r="H134" s="683"/>
      <c r="I134" s="1984"/>
      <c r="J134" s="590"/>
      <c r="K134" s="862" t="s">
        <v>2064</v>
      </c>
      <c r="L134" s="1652" t="s">
        <v>464</v>
      </c>
      <c r="M134" s="666">
        <v>6750</v>
      </c>
      <c r="N134" s="1738" t="s">
        <v>2205</v>
      </c>
      <c r="O134" s="1714"/>
      <c r="P134" s="1769">
        <f t="shared" si="3"/>
        <v>6750</v>
      </c>
      <c r="Q134" s="1770">
        <v>2.5</v>
      </c>
      <c r="R134" s="1707">
        <v>15</v>
      </c>
      <c r="S134" s="1707">
        <v>360</v>
      </c>
      <c r="T134" s="1741"/>
      <c r="U134" s="1702"/>
      <c r="V134" s="1702"/>
    </row>
    <row r="135" spans="1:22" ht="18" customHeight="1">
      <c r="A135" s="703"/>
      <c r="B135" s="1577"/>
      <c r="C135" s="1584"/>
      <c r="D135" s="1578"/>
      <c r="E135" s="1578"/>
      <c r="F135" s="1590"/>
      <c r="G135" s="1590"/>
      <c r="H135" s="683"/>
      <c r="I135" s="1984"/>
      <c r="J135" s="1826"/>
      <c r="K135" s="862" t="s">
        <v>2065</v>
      </c>
      <c r="L135" s="1652" t="s">
        <v>464</v>
      </c>
      <c r="M135" s="666">
        <v>5670</v>
      </c>
      <c r="N135" s="1738" t="s">
        <v>2206</v>
      </c>
      <c r="O135" s="1714"/>
      <c r="P135" s="1769">
        <f t="shared" si="3"/>
        <v>5669.9999999999991</v>
      </c>
      <c r="Q135" s="1770">
        <v>0.7</v>
      </c>
      <c r="R135" s="1707">
        <v>45</v>
      </c>
      <c r="S135" s="1707">
        <v>360</v>
      </c>
      <c r="T135" s="1741"/>
      <c r="U135" s="1702"/>
      <c r="V135" s="1702"/>
    </row>
    <row r="136" spans="1:22" ht="18" customHeight="1">
      <c r="A136" s="703"/>
      <c r="B136" s="1577"/>
      <c r="C136" s="1584"/>
      <c r="D136" s="1578"/>
      <c r="E136" s="1578"/>
      <c r="F136" s="1600"/>
      <c r="G136" s="1600"/>
      <c r="H136" s="683"/>
      <c r="I136" s="1987"/>
      <c r="J136" s="1826"/>
      <c r="K136" s="942" t="s">
        <v>2066</v>
      </c>
      <c r="L136" s="1639" t="s">
        <v>464</v>
      </c>
      <c r="M136" s="666">
        <v>298</v>
      </c>
      <c r="N136" s="1774" t="s">
        <v>2207</v>
      </c>
      <c r="O136" s="1714"/>
      <c r="P136" s="1769">
        <f>Q136*R136*S136</f>
        <v>298</v>
      </c>
      <c r="Q136" s="1770">
        <v>0.4</v>
      </c>
      <c r="R136" s="1707">
        <v>5</v>
      </c>
      <c r="S136" s="1707">
        <v>149</v>
      </c>
      <c r="T136" s="1741"/>
      <c r="U136" s="1702"/>
      <c r="V136" s="1702"/>
    </row>
    <row r="137" spans="1:22" ht="18" customHeight="1">
      <c r="A137" s="703"/>
      <c r="B137" s="1577"/>
      <c r="C137" s="1584"/>
      <c r="D137" s="1581"/>
      <c r="E137" s="1578"/>
      <c r="F137" s="1596" t="s">
        <v>996</v>
      </c>
      <c r="G137" s="1597"/>
      <c r="H137" s="1868">
        <f>H138+H140</f>
        <v>11400</v>
      </c>
      <c r="I137" s="1987">
        <v>12000</v>
      </c>
      <c r="J137" s="597">
        <f>H137-I137</f>
        <v>-600</v>
      </c>
      <c r="K137" s="1650"/>
      <c r="L137" s="1639"/>
      <c r="M137" s="668"/>
      <c r="N137" s="1775"/>
      <c r="O137" s="1746">
        <f>O140</f>
        <v>12000</v>
      </c>
      <c r="P137" s="1707"/>
      <c r="Q137" s="1706"/>
      <c r="R137" s="1707"/>
      <c r="S137" s="1707"/>
      <c r="T137" s="1741"/>
      <c r="U137" s="1702"/>
      <c r="V137" s="1702"/>
    </row>
    <row r="138" spans="1:22" ht="18" customHeight="1">
      <c r="A138" s="703"/>
      <c r="B138" s="1577"/>
      <c r="C138" s="1584"/>
      <c r="D138" s="1581"/>
      <c r="E138" s="1578"/>
      <c r="F138" s="1591"/>
      <c r="G138" s="1598" t="s">
        <v>436</v>
      </c>
      <c r="H138" s="1876">
        <f>M138</f>
        <v>6600</v>
      </c>
      <c r="I138" s="1986">
        <v>0</v>
      </c>
      <c r="J138" s="594">
        <f>H138-I138</f>
        <v>6600</v>
      </c>
      <c r="K138" s="1651" t="s">
        <v>436</v>
      </c>
      <c r="L138" s="1652"/>
      <c r="M138" s="1827">
        <f>M139</f>
        <v>6600</v>
      </c>
      <c r="N138" s="1776"/>
      <c r="O138" s="1746"/>
      <c r="P138" s="1707"/>
      <c r="Q138" s="1706"/>
      <c r="R138" s="1707"/>
      <c r="S138" s="1707"/>
      <c r="T138" s="1741"/>
      <c r="U138" s="1702"/>
      <c r="V138" s="1702"/>
    </row>
    <row r="139" spans="1:22" ht="18" customHeight="1">
      <c r="A139" s="703"/>
      <c r="B139" s="1577"/>
      <c r="C139" s="1584"/>
      <c r="D139" s="1581"/>
      <c r="E139" s="1578"/>
      <c r="F139" s="1578"/>
      <c r="G139" s="1590"/>
      <c r="H139" s="1864"/>
      <c r="I139" s="1987"/>
      <c r="J139" s="595"/>
      <c r="K139" s="862" t="s">
        <v>2067</v>
      </c>
      <c r="L139" s="1652" t="s">
        <v>464</v>
      </c>
      <c r="M139" s="1078">
        <v>6600</v>
      </c>
      <c r="N139" s="1776"/>
      <c r="O139" s="1746"/>
      <c r="P139" s="1707"/>
      <c r="Q139" s="1706"/>
      <c r="R139" s="1707"/>
      <c r="S139" s="1707"/>
      <c r="T139" s="1741"/>
      <c r="U139" s="1702"/>
      <c r="V139" s="1702"/>
    </row>
    <row r="140" spans="1:22" ht="18" customHeight="1">
      <c r="A140" s="703"/>
      <c r="B140" s="1577"/>
      <c r="C140" s="1584"/>
      <c r="D140" s="1592"/>
      <c r="E140" s="1592"/>
      <c r="F140" s="1592"/>
      <c r="G140" s="1591" t="s">
        <v>1947</v>
      </c>
      <c r="H140" s="683">
        <f>M140</f>
        <v>4800</v>
      </c>
      <c r="I140" s="1986">
        <v>12000</v>
      </c>
      <c r="J140" s="1826">
        <f>H140-I140</f>
        <v>-7200</v>
      </c>
      <c r="K140" s="1634" t="s">
        <v>1947</v>
      </c>
      <c r="L140" s="1635"/>
      <c r="M140" s="1824">
        <f>M141</f>
        <v>4800</v>
      </c>
      <c r="N140" s="1733" t="s">
        <v>2208</v>
      </c>
      <c r="O140" s="1722">
        <f>P140</f>
        <v>12000</v>
      </c>
      <c r="P140" s="1777">
        <f>Q140*R140</f>
        <v>12000</v>
      </c>
      <c r="Q140" s="1706">
        <v>2000</v>
      </c>
      <c r="R140" s="1707">
        <v>6</v>
      </c>
      <c r="S140" s="1707"/>
      <c r="T140" s="1741"/>
      <c r="U140" s="1702"/>
      <c r="V140" s="1702"/>
    </row>
    <row r="141" spans="1:22" ht="18" customHeight="1">
      <c r="A141" s="703"/>
      <c r="B141" s="1577"/>
      <c r="C141" s="1584"/>
      <c r="D141" s="1592"/>
      <c r="E141" s="1592"/>
      <c r="F141" s="1592"/>
      <c r="G141" s="1590"/>
      <c r="H141" s="683"/>
      <c r="I141" s="1987"/>
      <c r="J141" s="1826"/>
      <c r="K141" s="862" t="s">
        <v>2068</v>
      </c>
      <c r="L141" s="1652" t="s">
        <v>464</v>
      </c>
      <c r="M141" s="666">
        <v>4800</v>
      </c>
      <c r="N141" s="1733"/>
      <c r="O141" s="1722"/>
      <c r="P141" s="1777"/>
      <c r="Q141" s="1706"/>
      <c r="R141" s="1707"/>
      <c r="S141" s="1707"/>
      <c r="T141" s="1741"/>
      <c r="U141" s="1702"/>
      <c r="V141" s="1702"/>
    </row>
    <row r="142" spans="1:22" ht="18" customHeight="1">
      <c r="A142" s="703"/>
      <c r="B142" s="1577"/>
      <c r="C142" s="1584"/>
      <c r="D142" s="1581"/>
      <c r="E142" s="1578"/>
      <c r="F142" s="1596" t="s">
        <v>1948</v>
      </c>
      <c r="G142" s="1597"/>
      <c r="H142" s="1876">
        <f>H143</f>
        <v>458108</v>
      </c>
      <c r="I142" s="1989">
        <v>1289180</v>
      </c>
      <c r="J142" s="1828">
        <f>H142-I142</f>
        <v>-831072</v>
      </c>
      <c r="K142" s="1642"/>
      <c r="L142" s="1653"/>
      <c r="M142" s="668"/>
      <c r="N142" s="1778"/>
      <c r="O142" s="1746"/>
      <c r="P142" s="1707"/>
      <c r="Q142" s="1706"/>
      <c r="R142" s="1707"/>
      <c r="S142" s="1707"/>
      <c r="T142" s="1741"/>
      <c r="U142" s="1702"/>
      <c r="V142" s="1702"/>
    </row>
    <row r="143" spans="1:22" ht="18" customHeight="1">
      <c r="A143" s="703"/>
      <c r="B143" s="1577"/>
      <c r="C143" s="1584"/>
      <c r="D143" s="1592"/>
      <c r="E143" s="1592"/>
      <c r="F143" s="1606"/>
      <c r="G143" s="1591" t="s">
        <v>1949</v>
      </c>
      <c r="H143" s="1876">
        <f>M143</f>
        <v>458108</v>
      </c>
      <c r="I143" s="1990">
        <v>1289180</v>
      </c>
      <c r="J143" s="1828">
        <f>H143-I143</f>
        <v>-831072</v>
      </c>
      <c r="K143" s="1651"/>
      <c r="L143" s="1646"/>
      <c r="M143" s="1827">
        <f>M144+M146+M148+M149+M150</f>
        <v>458108</v>
      </c>
      <c r="N143" s="1723"/>
      <c r="O143" s="1722">
        <f>SUM(O144:O151)</f>
        <v>458108</v>
      </c>
      <c r="P143" s="1707"/>
      <c r="Q143" s="1706"/>
      <c r="R143" s="1707"/>
      <c r="S143" s="1707"/>
      <c r="T143" s="1741"/>
      <c r="U143" s="1702"/>
      <c r="V143" s="1702"/>
    </row>
    <row r="144" spans="1:22" ht="18" customHeight="1">
      <c r="A144" s="703"/>
      <c r="B144" s="1577"/>
      <c r="C144" s="1670"/>
      <c r="D144" s="1607"/>
      <c r="E144" s="1607"/>
      <c r="F144" s="1607"/>
      <c r="G144" s="1578"/>
      <c r="H144" s="1862"/>
      <c r="I144" s="1985"/>
      <c r="J144" s="1826"/>
      <c r="K144" s="1678" t="s">
        <v>2069</v>
      </c>
      <c r="L144" s="1676"/>
      <c r="M144" s="666">
        <f>M145</f>
        <v>179000</v>
      </c>
      <c r="N144" s="1738" t="s">
        <v>2209</v>
      </c>
      <c r="O144" s="1704">
        <f>SUM(P145)</f>
        <v>179000</v>
      </c>
      <c r="P144" s="1705"/>
      <c r="Q144" s="1654"/>
      <c r="R144" s="1707"/>
      <c r="S144" s="1707"/>
      <c r="T144" s="1741"/>
      <c r="U144" s="1702"/>
      <c r="V144" s="1702"/>
    </row>
    <row r="145" spans="1:22" ht="18" customHeight="1">
      <c r="A145" s="703"/>
      <c r="B145" s="1577"/>
      <c r="C145" s="1670"/>
      <c r="D145" s="1607"/>
      <c r="E145" s="1607"/>
      <c r="F145" s="1607"/>
      <c r="G145" s="1578"/>
      <c r="H145" s="1862"/>
      <c r="I145" s="1985"/>
      <c r="J145" s="1826"/>
      <c r="K145" s="1636" t="s">
        <v>2070</v>
      </c>
      <c r="L145" s="1676" t="s">
        <v>242</v>
      </c>
      <c r="M145" s="666">
        <v>179000</v>
      </c>
      <c r="N145" s="1779" t="s">
        <v>2210</v>
      </c>
      <c r="O145" s="1704"/>
      <c r="P145" s="1705">
        <f>ROUNDDOWN(Q145*R145, -3)</f>
        <v>179000</v>
      </c>
      <c r="Q145" s="1706">
        <v>35889672</v>
      </c>
      <c r="R145" s="1780">
        <v>5.0000000000000001E-3</v>
      </c>
      <c r="S145" s="1707"/>
      <c r="T145" s="1741"/>
      <c r="U145" s="1702"/>
      <c r="V145" s="1702"/>
    </row>
    <row r="146" spans="1:22" ht="18" customHeight="1">
      <c r="A146" s="703"/>
      <c r="B146" s="1577"/>
      <c r="C146" s="1670"/>
      <c r="D146" s="1607"/>
      <c r="E146" s="1607"/>
      <c r="F146" s="1607"/>
      <c r="G146" s="1578"/>
      <c r="H146" s="1862"/>
      <c r="I146" s="1985"/>
      <c r="J146" s="1826"/>
      <c r="K146" s="1678" t="s">
        <v>2071</v>
      </c>
      <c r="L146" s="1676"/>
      <c r="M146" s="666">
        <f>M147</f>
        <v>53000</v>
      </c>
      <c r="N146" s="1779" t="s">
        <v>2211</v>
      </c>
      <c r="O146" s="1704">
        <f>SUM(P147)</f>
        <v>53000</v>
      </c>
      <c r="P146" s="1705"/>
      <c r="Q146" s="1654"/>
      <c r="R146" s="1707"/>
      <c r="S146" s="1707"/>
      <c r="T146" s="1741"/>
      <c r="U146" s="1702"/>
      <c r="V146" s="1702"/>
    </row>
    <row r="147" spans="1:22" ht="18" customHeight="1">
      <c r="A147" s="703"/>
      <c r="B147" s="1577"/>
      <c r="C147" s="1670"/>
      <c r="D147" s="1607"/>
      <c r="E147" s="1607"/>
      <c r="F147" s="1607"/>
      <c r="G147" s="1578"/>
      <c r="H147" s="1862"/>
      <c r="I147" s="1985"/>
      <c r="J147" s="1826"/>
      <c r="K147" s="1637" t="s">
        <v>2072</v>
      </c>
      <c r="L147" s="1676" t="s">
        <v>242</v>
      </c>
      <c r="M147" s="666">
        <v>53000</v>
      </c>
      <c r="N147" s="1779"/>
      <c r="O147" s="1704"/>
      <c r="P147" s="1705">
        <f>ROUNDUP(Q147*R147, -3)</f>
        <v>53000</v>
      </c>
      <c r="Q147" s="1706">
        <v>6613000</v>
      </c>
      <c r="R147" s="1780">
        <v>8.0000000000000002E-3</v>
      </c>
      <c r="S147" s="1707"/>
      <c r="T147" s="1741"/>
      <c r="U147" s="1702"/>
      <c r="V147" s="1702"/>
    </row>
    <row r="148" spans="1:22" ht="18" customHeight="1">
      <c r="A148" s="703"/>
      <c r="B148" s="1577"/>
      <c r="C148" s="1670"/>
      <c r="D148" s="1608"/>
      <c r="E148" s="1608"/>
      <c r="F148" s="1608"/>
      <c r="G148" s="1609"/>
      <c r="H148" s="1862"/>
      <c r="I148" s="1985"/>
      <c r="J148" s="1826"/>
      <c r="K148" s="1637" t="s">
        <v>2073</v>
      </c>
      <c r="L148" s="1676" t="s">
        <v>242</v>
      </c>
      <c r="M148" s="666">
        <v>100000</v>
      </c>
      <c r="N148" s="1781" t="s">
        <v>2212</v>
      </c>
      <c r="O148" s="1704">
        <f>P148</f>
        <v>100000</v>
      </c>
      <c r="P148" s="1705">
        <f>ROUNDUP(Q148*R148, -3)</f>
        <v>100000</v>
      </c>
      <c r="Q148" s="1706">
        <v>100000000</v>
      </c>
      <c r="R148" s="1780">
        <v>1E-3</v>
      </c>
      <c r="S148" s="1707"/>
      <c r="T148" s="1741"/>
      <c r="U148" s="1702"/>
      <c r="V148" s="1702"/>
    </row>
    <row r="149" spans="1:22" ht="18" customHeight="1">
      <c r="A149" s="703"/>
      <c r="B149" s="1577"/>
      <c r="C149" s="1670"/>
      <c r="D149" s="1608"/>
      <c r="E149" s="1608"/>
      <c r="F149" s="1608"/>
      <c r="G149" s="1609"/>
      <c r="H149" s="1862"/>
      <c r="I149" s="1985"/>
      <c r="J149" s="1826"/>
      <c r="K149" s="1685" t="s">
        <v>2074</v>
      </c>
      <c r="L149" s="1676" t="s">
        <v>242</v>
      </c>
      <c r="M149" s="666">
        <v>9108</v>
      </c>
      <c r="N149" s="1781" t="s">
        <v>2213</v>
      </c>
      <c r="O149" s="1704">
        <f>P149</f>
        <v>9108</v>
      </c>
      <c r="P149" s="1705">
        <f>ROUNDUP(Q149*R149, -3)/1000</f>
        <v>9108</v>
      </c>
      <c r="Q149" s="1706">
        <v>1518000</v>
      </c>
      <c r="R149" s="1780">
        <v>6</v>
      </c>
      <c r="S149" s="1707"/>
      <c r="T149" s="1741"/>
      <c r="U149" s="1702"/>
      <c r="V149" s="1702"/>
    </row>
    <row r="150" spans="1:22" ht="18" customHeight="1">
      <c r="A150" s="703"/>
      <c r="B150" s="1577"/>
      <c r="C150" s="1670"/>
      <c r="D150" s="1608"/>
      <c r="E150" s="1608"/>
      <c r="F150" s="1608"/>
      <c r="G150" s="1609"/>
      <c r="H150" s="1862"/>
      <c r="I150" s="1985"/>
      <c r="J150" s="1826"/>
      <c r="K150" s="1637" t="s">
        <v>2075</v>
      </c>
      <c r="L150" s="1676"/>
      <c r="M150" s="666">
        <f>M151</f>
        <v>117000</v>
      </c>
      <c r="N150" s="1738" t="s">
        <v>2214</v>
      </c>
      <c r="O150" s="1704">
        <f>SUM(P151:P151)</f>
        <v>117000</v>
      </c>
      <c r="P150" s="1705"/>
      <c r="Q150" s="1706"/>
      <c r="R150" s="1707"/>
      <c r="S150" s="1707"/>
      <c r="T150" s="1741"/>
      <c r="U150" s="1702"/>
      <c r="V150" s="1702"/>
    </row>
    <row r="151" spans="1:22" ht="18" customHeight="1">
      <c r="A151" s="703"/>
      <c r="B151" s="1577"/>
      <c r="C151" s="1670"/>
      <c r="D151" s="1608"/>
      <c r="E151" s="1608"/>
      <c r="F151" s="1608"/>
      <c r="G151" s="1609"/>
      <c r="H151" s="1862"/>
      <c r="I151" s="1985"/>
      <c r="J151" s="1826"/>
      <c r="K151" s="1637" t="s">
        <v>2076</v>
      </c>
      <c r="L151" s="1676" t="s">
        <v>242</v>
      </c>
      <c r="M151" s="666">
        <v>117000</v>
      </c>
      <c r="N151" s="1754"/>
      <c r="O151" s="1704"/>
      <c r="P151" s="1705">
        <f>Q151*S151*0.5</f>
        <v>117000</v>
      </c>
      <c r="Q151" s="1706">
        <v>30</v>
      </c>
      <c r="R151" s="1707"/>
      <c r="S151" s="1707">
        <v>7800</v>
      </c>
      <c r="T151" s="1741"/>
      <c r="U151" s="1702"/>
      <c r="V151" s="1702"/>
    </row>
    <row r="152" spans="1:22" ht="18" customHeight="1">
      <c r="A152" s="703"/>
      <c r="B152" s="1577"/>
      <c r="C152" s="1584"/>
      <c r="D152" s="1581"/>
      <c r="E152" s="1578"/>
      <c r="F152" s="1596" t="s">
        <v>1950</v>
      </c>
      <c r="G152" s="1597"/>
      <c r="H152" s="1868">
        <f>M152</f>
        <v>507240</v>
      </c>
      <c r="I152" s="1989">
        <v>898420</v>
      </c>
      <c r="J152" s="1828">
        <f>H152-I152</f>
        <v>-391180</v>
      </c>
      <c r="K152" s="1642"/>
      <c r="L152" s="1653"/>
      <c r="M152" s="1850">
        <f>M153+M156+M157</f>
        <v>507240</v>
      </c>
      <c r="N152" s="1782"/>
      <c r="O152" s="1746">
        <f>SUM(O153:O161)</f>
        <v>507240</v>
      </c>
      <c r="P152" s="1707"/>
      <c r="Q152" s="1706"/>
      <c r="R152" s="1707"/>
      <c r="S152" s="1707"/>
      <c r="T152" s="1741"/>
      <c r="U152" s="1702"/>
      <c r="V152" s="1702"/>
    </row>
    <row r="153" spans="1:22" ht="18" customHeight="1">
      <c r="A153" s="703"/>
      <c r="B153" s="1577"/>
      <c r="C153" s="1584"/>
      <c r="D153" s="1610"/>
      <c r="E153" s="1610"/>
      <c r="F153" s="1611"/>
      <c r="G153" s="1612"/>
      <c r="H153" s="1876"/>
      <c r="I153" s="1984"/>
      <c r="J153" s="594"/>
      <c r="K153" s="1678" t="s">
        <v>2077</v>
      </c>
      <c r="L153" s="1686"/>
      <c r="M153" s="1534">
        <f>SUM(M154:M155)</f>
        <v>86280</v>
      </c>
      <c r="N153" s="1737" t="s">
        <v>2077</v>
      </c>
      <c r="O153" s="1704">
        <f>SUM(P154:P155)</f>
        <v>86280</v>
      </c>
      <c r="P153" s="1705"/>
      <c r="Q153" s="1706"/>
      <c r="R153" s="1707"/>
      <c r="S153" s="1707"/>
      <c r="T153" s="1741"/>
      <c r="U153" s="1702"/>
      <c r="V153" s="1702"/>
    </row>
    <row r="154" spans="1:22" ht="18" customHeight="1">
      <c r="A154" s="703"/>
      <c r="B154" s="1577"/>
      <c r="C154" s="1584"/>
      <c r="D154" s="1613"/>
      <c r="E154" s="1613"/>
      <c r="F154" s="1614"/>
      <c r="G154" s="1615"/>
      <c r="H154" s="1862"/>
      <c r="I154" s="1985"/>
      <c r="J154" s="1826"/>
      <c r="K154" s="1637" t="s">
        <v>2078</v>
      </c>
      <c r="L154" s="1676" t="s">
        <v>242</v>
      </c>
      <c r="M154" s="666">
        <v>70290</v>
      </c>
      <c r="N154" s="1783" t="s">
        <v>2215</v>
      </c>
      <c r="O154" s="1704"/>
      <c r="P154" s="1705">
        <f>INT(Q154*R154*S154)*0.5</f>
        <v>70290</v>
      </c>
      <c r="Q154" s="1706">
        <v>1.65</v>
      </c>
      <c r="R154" s="1707">
        <v>7100</v>
      </c>
      <c r="S154" s="1707">
        <v>12</v>
      </c>
      <c r="T154" s="1741"/>
      <c r="U154" s="1702"/>
      <c r="V154" s="1702"/>
    </row>
    <row r="155" spans="1:22" ht="18" customHeight="1">
      <c r="A155" s="703"/>
      <c r="B155" s="1577"/>
      <c r="C155" s="1584"/>
      <c r="D155" s="1610"/>
      <c r="E155" s="1610"/>
      <c r="F155" s="1611"/>
      <c r="G155" s="1612"/>
      <c r="H155" s="1862"/>
      <c r="I155" s="1985"/>
      <c r="J155" s="1826"/>
      <c r="K155" s="1678" t="s">
        <v>2079</v>
      </c>
      <c r="L155" s="1676" t="s">
        <v>242</v>
      </c>
      <c r="M155" s="666">
        <v>15990</v>
      </c>
      <c r="N155" s="1783" t="s">
        <v>2216</v>
      </c>
      <c r="O155" s="1704"/>
      <c r="P155" s="1705">
        <f>INT(Q155*R155*S155)*0.5</f>
        <v>15990</v>
      </c>
      <c r="Q155" s="1706">
        <v>0.41</v>
      </c>
      <c r="R155" s="1707">
        <v>6500</v>
      </c>
      <c r="S155" s="1707">
        <v>12</v>
      </c>
      <c r="T155" s="1741"/>
      <c r="U155" s="1702"/>
      <c r="V155" s="1702"/>
    </row>
    <row r="156" spans="1:22" ht="18" customHeight="1">
      <c r="A156" s="703"/>
      <c r="B156" s="1577"/>
      <c r="C156" s="1584"/>
      <c r="D156" s="1610"/>
      <c r="E156" s="1610"/>
      <c r="F156" s="1611"/>
      <c r="G156" s="1612"/>
      <c r="H156" s="1862"/>
      <c r="I156" s="1985"/>
      <c r="J156" s="1826"/>
      <c r="K156" s="1678" t="s">
        <v>2080</v>
      </c>
      <c r="L156" s="1686"/>
      <c r="M156" s="666">
        <v>410400</v>
      </c>
      <c r="N156" s="1738" t="s">
        <v>2217</v>
      </c>
      <c r="O156" s="1704">
        <f>P156</f>
        <v>410400</v>
      </c>
      <c r="P156" s="1705">
        <f>INT(Q156*R156*S156)*0.5</f>
        <v>410400</v>
      </c>
      <c r="Q156" s="1706">
        <v>0.18</v>
      </c>
      <c r="R156" s="1707">
        <v>380000</v>
      </c>
      <c r="S156" s="1707">
        <v>12</v>
      </c>
      <c r="T156" s="1741"/>
      <c r="U156" s="1702"/>
      <c r="V156" s="1702"/>
    </row>
    <row r="157" spans="1:22" ht="18" customHeight="1">
      <c r="A157" s="703"/>
      <c r="B157" s="1577"/>
      <c r="C157" s="1584"/>
      <c r="D157" s="1610"/>
      <c r="E157" s="1610"/>
      <c r="F157" s="1611"/>
      <c r="G157" s="1612"/>
      <c r="H157" s="683"/>
      <c r="I157" s="1984"/>
      <c r="J157" s="1826"/>
      <c r="K157" s="1678" t="s">
        <v>2081</v>
      </c>
      <c r="L157" s="1686"/>
      <c r="M157" s="666">
        <f>SUM(M158:M161)</f>
        <v>10560</v>
      </c>
      <c r="N157" s="1738" t="s">
        <v>2081</v>
      </c>
      <c r="O157" s="1704">
        <f>SUM(P158:P161)</f>
        <v>10560</v>
      </c>
      <c r="P157" s="1707"/>
      <c r="Q157" s="1706"/>
      <c r="R157" s="1707"/>
      <c r="S157" s="1707"/>
      <c r="T157" s="1741"/>
      <c r="U157" s="1702"/>
      <c r="V157" s="1702"/>
    </row>
    <row r="158" spans="1:22" ht="18" customHeight="1">
      <c r="A158" s="703"/>
      <c r="B158" s="1577"/>
      <c r="C158" s="1584"/>
      <c r="D158" s="1610"/>
      <c r="E158" s="1610"/>
      <c r="F158" s="1611"/>
      <c r="G158" s="1612"/>
      <c r="H158" s="683"/>
      <c r="I158" s="1984"/>
      <c r="J158" s="1826"/>
      <c r="K158" s="1678" t="s">
        <v>2082</v>
      </c>
      <c r="L158" s="1676" t="s">
        <v>242</v>
      </c>
      <c r="M158" s="666">
        <v>6000</v>
      </c>
      <c r="N158" s="1784" t="s">
        <v>2218</v>
      </c>
      <c r="O158" s="1704"/>
      <c r="P158" s="1785">
        <f>INT(Q158*R158*S158)*0.5</f>
        <v>6000</v>
      </c>
      <c r="Q158" s="1706">
        <v>1.2</v>
      </c>
      <c r="R158" s="1707">
        <v>5000</v>
      </c>
      <c r="S158" s="1707">
        <v>2</v>
      </c>
      <c r="T158" s="1741"/>
      <c r="U158" s="1702"/>
      <c r="V158" s="1702"/>
    </row>
    <row r="159" spans="1:22" ht="18" customHeight="1">
      <c r="A159" s="703"/>
      <c r="B159" s="1577"/>
      <c r="C159" s="1584"/>
      <c r="D159" s="1610"/>
      <c r="E159" s="1687"/>
      <c r="F159" s="1611"/>
      <c r="G159" s="1612"/>
      <c r="H159" s="683"/>
      <c r="I159" s="1984"/>
      <c r="J159" s="1826"/>
      <c r="K159" s="1678" t="s">
        <v>2083</v>
      </c>
      <c r="L159" s="1676" t="s">
        <v>242</v>
      </c>
      <c r="M159" s="666">
        <v>3600</v>
      </c>
      <c r="N159" s="1786" t="s">
        <v>2219</v>
      </c>
      <c r="O159" s="1704"/>
      <c r="P159" s="1785">
        <f>INT(Q159*R159*S159)*0.5</f>
        <v>3600</v>
      </c>
      <c r="Q159" s="1706">
        <v>1.2</v>
      </c>
      <c r="R159" s="1707">
        <v>3000</v>
      </c>
      <c r="S159" s="1707">
        <v>2</v>
      </c>
      <c r="T159" s="1741"/>
      <c r="U159" s="1702"/>
      <c r="V159" s="1702"/>
    </row>
    <row r="160" spans="1:22" ht="18" customHeight="1">
      <c r="A160" s="703"/>
      <c r="B160" s="1577"/>
      <c r="C160" s="1584"/>
      <c r="D160" s="1610"/>
      <c r="E160" s="1687"/>
      <c r="F160" s="1611"/>
      <c r="G160" s="1612"/>
      <c r="H160" s="683"/>
      <c r="I160" s="1984"/>
      <c r="J160" s="1826"/>
      <c r="K160" s="1678" t="s">
        <v>2084</v>
      </c>
      <c r="L160" s="1676" t="s">
        <v>242</v>
      </c>
      <c r="M160" s="666">
        <v>480</v>
      </c>
      <c r="N160" s="1786" t="s">
        <v>2220</v>
      </c>
      <c r="O160" s="1704"/>
      <c r="P160" s="1785">
        <f>INT(Q160*R160*S160)*0.5</f>
        <v>480</v>
      </c>
      <c r="Q160" s="1706">
        <v>1.6</v>
      </c>
      <c r="R160" s="1707">
        <v>50</v>
      </c>
      <c r="S160" s="1707">
        <v>12</v>
      </c>
      <c r="T160" s="1741"/>
      <c r="U160" s="1702"/>
      <c r="V160" s="1702"/>
    </row>
    <row r="161" spans="1:22" ht="18" customHeight="1" thickBot="1">
      <c r="A161" s="703"/>
      <c r="B161" s="1577"/>
      <c r="C161" s="1584"/>
      <c r="D161" s="1610"/>
      <c r="E161" s="1687"/>
      <c r="F161" s="1611"/>
      <c r="G161" s="1612"/>
      <c r="H161" s="1931"/>
      <c r="I161" s="1984"/>
      <c r="J161" s="1826"/>
      <c r="K161" s="1678" t="s">
        <v>2085</v>
      </c>
      <c r="L161" s="1676" t="s">
        <v>242</v>
      </c>
      <c r="M161" s="666">
        <v>480</v>
      </c>
      <c r="N161" s="1787" t="s">
        <v>2221</v>
      </c>
      <c r="O161" s="1704"/>
      <c r="P161" s="1785">
        <f>INT(Q161*R161*S161)*0.5</f>
        <v>480</v>
      </c>
      <c r="Q161" s="1706">
        <v>1.6</v>
      </c>
      <c r="R161" s="1707">
        <v>200</v>
      </c>
      <c r="S161" s="1707">
        <v>3</v>
      </c>
      <c r="T161" s="1741"/>
      <c r="U161" s="1702"/>
      <c r="V161" s="1702"/>
    </row>
    <row r="162" spans="1:22" ht="18" customHeight="1">
      <c r="A162" s="1563" t="s">
        <v>132</v>
      </c>
      <c r="B162" s="1564"/>
      <c r="C162" s="1565"/>
      <c r="D162" s="1565"/>
      <c r="E162" s="1565"/>
      <c r="F162" s="1565"/>
      <c r="G162" s="1566"/>
      <c r="H162" s="684">
        <f>H163</f>
        <v>2800800</v>
      </c>
      <c r="I162" s="1991">
        <v>207600</v>
      </c>
      <c r="J162" s="682">
        <f>H162-I162</f>
        <v>2593200</v>
      </c>
      <c r="K162" s="1655"/>
      <c r="L162" s="1656"/>
      <c r="M162" s="1851"/>
      <c r="N162" s="1788"/>
      <c r="O162" s="1789"/>
      <c r="P162" s="1790"/>
      <c r="Q162" s="1791"/>
      <c r="R162" s="1791"/>
      <c r="S162" s="1791"/>
      <c r="T162" s="1761"/>
      <c r="U162" s="1762"/>
      <c r="V162" s="1792"/>
    </row>
    <row r="163" spans="1:22" ht="18" customHeight="1">
      <c r="A163" s="1567"/>
      <c r="B163" s="1568" t="s">
        <v>142</v>
      </c>
      <c r="C163" s="1569"/>
      <c r="D163" s="1570"/>
      <c r="E163" s="1570"/>
      <c r="F163" s="1570"/>
      <c r="G163" s="1571"/>
      <c r="H163" s="1875">
        <f>H164:H164</f>
        <v>2800800</v>
      </c>
      <c r="I163" s="1935">
        <v>207600</v>
      </c>
      <c r="J163" s="601">
        <f>H163-I163</f>
        <v>2593200</v>
      </c>
      <c r="K163" s="1657"/>
      <c r="L163" s="1658"/>
      <c r="M163" s="668"/>
      <c r="N163" s="1788"/>
      <c r="O163" s="1789"/>
      <c r="P163" s="1790"/>
      <c r="Q163" s="1791"/>
      <c r="R163" s="1791"/>
      <c r="S163" s="1791"/>
      <c r="T163" s="1761"/>
      <c r="U163" s="1762"/>
      <c r="V163" s="1792"/>
    </row>
    <row r="164" spans="1:22" ht="18" customHeight="1">
      <c r="A164" s="1567"/>
      <c r="B164" s="1575"/>
      <c r="C164" s="1568" t="s">
        <v>333</v>
      </c>
      <c r="D164" s="1570"/>
      <c r="E164" s="1570"/>
      <c r="F164" s="1570"/>
      <c r="G164" s="1571"/>
      <c r="H164" s="1866">
        <f>H165+H171+H179</f>
        <v>2800800</v>
      </c>
      <c r="I164" s="1935">
        <v>207600</v>
      </c>
      <c r="J164" s="601">
        <f t="shared" ref="J164:J168" si="4">H164-I164</f>
        <v>2593200</v>
      </c>
      <c r="K164" s="1657"/>
      <c r="L164" s="1658"/>
      <c r="M164" s="1078"/>
      <c r="N164" s="2449"/>
      <c r="O164" s="2450"/>
      <c r="P164" s="2450"/>
      <c r="Q164" s="2450"/>
      <c r="R164" s="2450"/>
      <c r="S164" s="2450"/>
      <c r="T164" s="2450"/>
      <c r="U164" s="2450"/>
      <c r="V164" s="1792"/>
    </row>
    <row r="165" spans="1:22" ht="18" customHeight="1">
      <c r="A165" s="1567"/>
      <c r="B165" s="1575"/>
      <c r="C165" s="1573"/>
      <c r="D165" s="1569" t="s">
        <v>1951</v>
      </c>
      <c r="E165" s="1570"/>
      <c r="F165" s="1570"/>
      <c r="G165" s="1571"/>
      <c r="H165" s="1866">
        <f>H166</f>
        <v>0</v>
      </c>
      <c r="I165" s="1936">
        <v>150000</v>
      </c>
      <c r="J165" s="607">
        <f t="shared" si="4"/>
        <v>-150000</v>
      </c>
      <c r="K165" s="1688"/>
      <c r="L165" s="1689"/>
      <c r="M165" s="1078"/>
      <c r="N165" s="1788"/>
      <c r="O165" s="1789"/>
      <c r="P165" s="1790"/>
      <c r="Q165" s="1791"/>
      <c r="R165" s="1791"/>
      <c r="S165" s="1791"/>
      <c r="T165" s="1761"/>
      <c r="U165" s="1762"/>
      <c r="V165" s="1762"/>
    </row>
    <row r="166" spans="1:22" ht="18" customHeight="1">
      <c r="A166" s="1567"/>
      <c r="B166" s="1575"/>
      <c r="C166" s="1616"/>
      <c r="D166" s="1617"/>
      <c r="E166" s="1569" t="s">
        <v>454</v>
      </c>
      <c r="F166" s="1570"/>
      <c r="G166" s="1571"/>
      <c r="H166" s="1866">
        <f>H167</f>
        <v>0</v>
      </c>
      <c r="I166" s="1937">
        <v>150000</v>
      </c>
      <c r="J166" s="601">
        <f t="shared" si="4"/>
        <v>-150000</v>
      </c>
      <c r="K166" s="1659"/>
      <c r="L166" s="1660"/>
      <c r="M166" s="1078"/>
      <c r="N166" s="1788"/>
      <c r="O166" s="1789"/>
      <c r="P166" s="1790"/>
      <c r="Q166" s="1791"/>
      <c r="R166" s="1791"/>
      <c r="S166" s="1791"/>
      <c r="T166" s="1793"/>
      <c r="U166" s="1762"/>
      <c r="V166" s="1792"/>
    </row>
    <row r="167" spans="1:22" ht="18" customHeight="1">
      <c r="A167" s="1618"/>
      <c r="B167" s="1619"/>
      <c r="C167" s="1619"/>
      <c r="D167" s="1619"/>
      <c r="E167" s="1620"/>
      <c r="F167" s="1621" t="s">
        <v>1952</v>
      </c>
      <c r="G167" s="1621"/>
      <c r="H167" s="683">
        <f>H168</f>
        <v>0</v>
      </c>
      <c r="I167" s="1992">
        <v>150000</v>
      </c>
      <c r="J167" s="597">
        <f t="shared" si="4"/>
        <v>-150000</v>
      </c>
      <c r="K167" s="1075"/>
      <c r="L167" s="1054"/>
      <c r="M167" s="666"/>
      <c r="N167" s="1794"/>
      <c r="O167" s="1795"/>
      <c r="P167" s="1796"/>
      <c r="Q167" s="1797"/>
      <c r="R167" s="1798"/>
      <c r="S167" s="1798"/>
      <c r="T167" s="1799"/>
      <c r="U167" s="1664"/>
      <c r="V167" s="1664"/>
    </row>
    <row r="168" spans="1:22" ht="18" customHeight="1">
      <c r="A168" s="1618"/>
      <c r="B168" s="1619"/>
      <c r="C168" s="1619"/>
      <c r="D168" s="1619"/>
      <c r="E168" s="1619"/>
      <c r="F168" s="1622"/>
      <c r="G168" s="1623" t="s">
        <v>1953</v>
      </c>
      <c r="H168" s="1876">
        <f>M168</f>
        <v>0</v>
      </c>
      <c r="I168" s="1993">
        <v>150000</v>
      </c>
      <c r="J168" s="590">
        <f t="shared" si="4"/>
        <v>-150000</v>
      </c>
      <c r="K168" s="1825"/>
      <c r="L168" s="1661"/>
      <c r="M168" s="1827">
        <f>M169</f>
        <v>0</v>
      </c>
      <c r="N168" s="1800"/>
      <c r="O168" s="1801"/>
      <c r="P168" s="1802"/>
      <c r="Q168" s="1803"/>
      <c r="R168" s="1804"/>
      <c r="S168" s="1798"/>
      <c r="T168" s="1799"/>
      <c r="U168" s="1664"/>
      <c r="V168" s="1664"/>
    </row>
    <row r="169" spans="1:22" ht="18" customHeight="1">
      <c r="A169" s="1618"/>
      <c r="B169" s="1619"/>
      <c r="C169" s="1619"/>
      <c r="D169" s="1619"/>
      <c r="E169" s="1619"/>
      <c r="F169" s="1622"/>
      <c r="G169" s="1624"/>
      <c r="H169" s="683"/>
      <c r="I169" s="1994"/>
      <c r="J169" s="590"/>
      <c r="K169" s="1690" t="s">
        <v>2086</v>
      </c>
      <c r="L169" s="1691"/>
      <c r="M169" s="1824">
        <f>M170</f>
        <v>0</v>
      </c>
      <c r="N169" s="1805" t="s">
        <v>2222</v>
      </c>
      <c r="O169" s="1764">
        <f>SUM(O170:O170)</f>
        <v>150000</v>
      </c>
      <c r="P169" s="1806"/>
      <c r="Q169" s="1807"/>
      <c r="R169" s="1808"/>
      <c r="S169" s="1798"/>
      <c r="T169" s="1799"/>
      <c r="U169" s="1664"/>
      <c r="V169" s="1664"/>
    </row>
    <row r="170" spans="1:22" ht="18" customHeight="1">
      <c r="A170" s="1618"/>
      <c r="B170" s="1619"/>
      <c r="C170" s="1619"/>
      <c r="D170" s="1619"/>
      <c r="E170" s="1619"/>
      <c r="F170" s="1622"/>
      <c r="G170" s="1624"/>
      <c r="H170" s="683"/>
      <c r="I170" s="1994"/>
      <c r="J170" s="590"/>
      <c r="K170" s="1692" t="s">
        <v>2087</v>
      </c>
      <c r="L170" s="1691" t="s">
        <v>1431</v>
      </c>
      <c r="M170" s="666">
        <v>0</v>
      </c>
      <c r="N170" s="1800" t="s">
        <v>2223</v>
      </c>
      <c r="O170" s="1764">
        <f>P170</f>
        <v>150000</v>
      </c>
      <c r="P170" s="1806">
        <f>Q170*R170</f>
        <v>150000</v>
      </c>
      <c r="Q170" s="1807">
        <v>150000</v>
      </c>
      <c r="R170" s="1808">
        <v>1</v>
      </c>
      <c r="S170" s="1798"/>
      <c r="T170" s="1799"/>
      <c r="U170" s="1664"/>
      <c r="V170" s="1664"/>
    </row>
    <row r="171" spans="1:22" ht="18" customHeight="1">
      <c r="A171" s="1567"/>
      <c r="B171" s="1575"/>
      <c r="C171" s="1575"/>
      <c r="D171" s="1569" t="s">
        <v>2264</v>
      </c>
      <c r="E171" s="1570"/>
      <c r="F171" s="1570"/>
      <c r="G171" s="1571"/>
      <c r="H171" s="1866">
        <f>H172</f>
        <v>2780000</v>
      </c>
      <c r="I171" s="1936">
        <v>150000</v>
      </c>
      <c r="J171" s="601">
        <f>H171-I171</f>
        <v>2630000</v>
      </c>
      <c r="K171" s="1822"/>
      <c r="L171" s="1663"/>
      <c r="M171" s="668"/>
      <c r="N171" s="1788"/>
      <c r="O171" s="1789"/>
      <c r="P171" s="1790"/>
      <c r="Q171" s="1791"/>
      <c r="R171" s="1791"/>
      <c r="S171" s="1791"/>
      <c r="T171" s="1761"/>
      <c r="U171" s="1762"/>
      <c r="V171" s="1762"/>
    </row>
    <row r="172" spans="1:22" ht="18" customHeight="1">
      <c r="A172" s="1567"/>
      <c r="B172" s="1575"/>
      <c r="C172" s="1616"/>
      <c r="D172" s="1617"/>
      <c r="E172" s="1569" t="s">
        <v>454</v>
      </c>
      <c r="F172" s="1570"/>
      <c r="G172" s="1571"/>
      <c r="H172" s="1866">
        <f>H173</f>
        <v>2780000</v>
      </c>
      <c r="I172" s="1937">
        <v>150000</v>
      </c>
      <c r="J172" s="607">
        <f t="shared" ref="J172:J174" si="5">H172-I172</f>
        <v>2630000</v>
      </c>
      <c r="K172" s="1659"/>
      <c r="L172" s="1660"/>
      <c r="M172" s="1078"/>
      <c r="N172" s="1788"/>
      <c r="O172" s="1789"/>
      <c r="P172" s="1790"/>
      <c r="Q172" s="1791"/>
      <c r="R172" s="1791"/>
      <c r="S172" s="1791"/>
      <c r="T172" s="1793"/>
      <c r="U172" s="1762"/>
      <c r="V172" s="1792"/>
    </row>
    <row r="173" spans="1:22" ht="18" customHeight="1">
      <c r="A173" s="1618"/>
      <c r="B173" s="1619"/>
      <c r="C173" s="1619"/>
      <c r="D173" s="1619"/>
      <c r="E173" s="1620"/>
      <c r="F173" s="1621" t="s">
        <v>1952</v>
      </c>
      <c r="G173" s="1621"/>
      <c r="H173" s="683">
        <f>H174</f>
        <v>2780000</v>
      </c>
      <c r="I173" s="1992">
        <v>150000</v>
      </c>
      <c r="J173" s="594">
        <f t="shared" si="5"/>
        <v>2630000</v>
      </c>
      <c r="K173" s="1075"/>
      <c r="L173" s="1054"/>
      <c r="M173" s="1078"/>
      <c r="N173" s="1794"/>
      <c r="O173" s="1795"/>
      <c r="P173" s="1796"/>
      <c r="Q173" s="1797"/>
      <c r="R173" s="1798"/>
      <c r="S173" s="1798"/>
      <c r="T173" s="1799"/>
      <c r="U173" s="1664"/>
      <c r="V173" s="1664"/>
    </row>
    <row r="174" spans="1:22" ht="18" customHeight="1">
      <c r="A174" s="1618"/>
      <c r="B174" s="1619"/>
      <c r="C174" s="1619"/>
      <c r="D174" s="1619"/>
      <c r="E174" s="1619"/>
      <c r="F174" s="1622"/>
      <c r="G174" s="1623" t="s">
        <v>1953</v>
      </c>
      <c r="H174" s="1876">
        <f>M174</f>
        <v>2780000</v>
      </c>
      <c r="I174" s="1993">
        <v>150000</v>
      </c>
      <c r="J174" s="594">
        <f t="shared" si="5"/>
        <v>2630000</v>
      </c>
      <c r="K174" s="1825"/>
      <c r="L174" s="1661"/>
      <c r="M174" s="1824">
        <f>M175+M177</f>
        <v>2780000</v>
      </c>
      <c r="N174" s="1800"/>
      <c r="O174" s="1801"/>
      <c r="P174" s="1802"/>
      <c r="Q174" s="1803"/>
      <c r="R174" s="1804"/>
      <c r="S174" s="1798"/>
      <c r="T174" s="1799"/>
      <c r="U174" s="1664"/>
      <c r="V174" s="1664"/>
    </row>
    <row r="175" spans="1:22" ht="18" customHeight="1">
      <c r="A175" s="1618"/>
      <c r="B175" s="1619"/>
      <c r="C175" s="1619"/>
      <c r="D175" s="1619"/>
      <c r="E175" s="1619"/>
      <c r="F175" s="1622"/>
      <c r="G175" s="1624"/>
      <c r="H175" s="683"/>
      <c r="I175" s="1994"/>
      <c r="J175" s="590"/>
      <c r="K175" s="1690" t="s">
        <v>2086</v>
      </c>
      <c r="L175" s="1691"/>
      <c r="M175" s="1824">
        <f>M176</f>
        <v>2550000</v>
      </c>
      <c r="N175" s="1805" t="s">
        <v>2222</v>
      </c>
      <c r="O175" s="1764">
        <f>SUM(O176:O176)</f>
        <v>2550000</v>
      </c>
      <c r="P175" s="1806"/>
      <c r="Q175" s="1807"/>
      <c r="R175" s="1808"/>
      <c r="S175" s="1798"/>
      <c r="T175" s="1799"/>
      <c r="U175" s="1664"/>
      <c r="V175" s="1664"/>
    </row>
    <row r="176" spans="1:22" ht="18" customHeight="1">
      <c r="A176" s="1618"/>
      <c r="B176" s="1619"/>
      <c r="C176" s="1619"/>
      <c r="D176" s="1619"/>
      <c r="E176" s="1619"/>
      <c r="F176" s="1622"/>
      <c r="G176" s="1624"/>
      <c r="H176" s="683"/>
      <c r="I176" s="1994"/>
      <c r="J176" s="590"/>
      <c r="K176" s="1692" t="s">
        <v>2087</v>
      </c>
      <c r="L176" s="1691" t="s">
        <v>1431</v>
      </c>
      <c r="M176" s="666">
        <v>2550000</v>
      </c>
      <c r="N176" s="1800" t="s">
        <v>2223</v>
      </c>
      <c r="O176" s="1764">
        <f>P176</f>
        <v>2550000</v>
      </c>
      <c r="P176" s="1806">
        <f>Q176*R176</f>
        <v>2550000</v>
      </c>
      <c r="Q176" s="1807">
        <v>2550000</v>
      </c>
      <c r="R176" s="1808">
        <v>1</v>
      </c>
      <c r="S176" s="1798"/>
      <c r="T176" s="1799"/>
      <c r="U176" s="1664"/>
      <c r="V176" s="1664"/>
    </row>
    <row r="177" spans="1:22" ht="18" customHeight="1">
      <c r="A177" s="1618"/>
      <c r="B177" s="1619"/>
      <c r="C177" s="1619"/>
      <c r="D177" s="1619"/>
      <c r="E177" s="1619"/>
      <c r="F177" s="1622"/>
      <c r="G177" s="1625"/>
      <c r="H177" s="683"/>
      <c r="I177" s="1994"/>
      <c r="J177" s="590"/>
      <c r="K177" s="1690" t="s">
        <v>2088</v>
      </c>
      <c r="L177" s="1691"/>
      <c r="M177" s="1824">
        <f>M178</f>
        <v>230000</v>
      </c>
      <c r="N177" s="1800"/>
      <c r="O177" s="1764"/>
      <c r="P177" s="1806"/>
      <c r="Q177" s="1807"/>
      <c r="R177" s="1808"/>
      <c r="S177" s="1798"/>
      <c r="T177" s="1799"/>
      <c r="U177" s="1664"/>
      <c r="V177" s="1664"/>
    </row>
    <row r="178" spans="1:22" ht="18" customHeight="1">
      <c r="A178" s="1618"/>
      <c r="B178" s="1619"/>
      <c r="C178" s="1619"/>
      <c r="D178" s="1626"/>
      <c r="E178" s="1626"/>
      <c r="F178" s="1627"/>
      <c r="G178" s="1625"/>
      <c r="H178" s="683"/>
      <c r="I178" s="1994"/>
      <c r="J178" s="590"/>
      <c r="K178" s="1692" t="s">
        <v>2089</v>
      </c>
      <c r="L178" s="1691" t="s">
        <v>1431</v>
      </c>
      <c r="M178" s="666">
        <v>230000</v>
      </c>
      <c r="N178" s="1800"/>
      <c r="O178" s="1764">
        <f t="shared" ref="O178" si="6">P178</f>
        <v>230000</v>
      </c>
      <c r="P178" s="1806">
        <f t="shared" ref="P178" si="7">Q178*R178</f>
        <v>230000</v>
      </c>
      <c r="Q178" s="1807">
        <v>230000</v>
      </c>
      <c r="R178" s="1808">
        <v>1</v>
      </c>
      <c r="S178" s="1798"/>
      <c r="T178" s="1799"/>
      <c r="U178" s="1664"/>
      <c r="V178" s="1664"/>
    </row>
    <row r="179" spans="1:22" ht="18" customHeight="1">
      <c r="A179" s="1567"/>
      <c r="B179" s="1575"/>
      <c r="C179" s="1575"/>
      <c r="D179" s="1569" t="s">
        <v>1954</v>
      </c>
      <c r="E179" s="1570"/>
      <c r="F179" s="1570"/>
      <c r="G179" s="1571"/>
      <c r="H179" s="1875">
        <f>H180</f>
        <v>20800</v>
      </c>
      <c r="I179" s="1937">
        <v>57600</v>
      </c>
      <c r="J179" s="601">
        <f>H179-I179</f>
        <v>-36800</v>
      </c>
      <c r="K179" s="1822"/>
      <c r="L179" s="1663"/>
      <c r="M179" s="1534"/>
      <c r="N179" s="1788"/>
      <c r="O179" s="1789"/>
      <c r="P179" s="1790"/>
      <c r="Q179" s="1791"/>
      <c r="R179" s="1791"/>
      <c r="S179" s="1791"/>
      <c r="T179" s="1761"/>
      <c r="U179" s="1762"/>
      <c r="V179" s="1762"/>
    </row>
    <row r="180" spans="1:22" ht="18" customHeight="1">
      <c r="A180" s="1567"/>
      <c r="B180" s="1575"/>
      <c r="C180" s="1616"/>
      <c r="D180" s="1617"/>
      <c r="E180" s="1569" t="s">
        <v>454</v>
      </c>
      <c r="F180" s="1570"/>
      <c r="G180" s="1571"/>
      <c r="H180" s="1866">
        <f>H181</f>
        <v>20800</v>
      </c>
      <c r="I180" s="1937">
        <v>57600</v>
      </c>
      <c r="J180" s="667">
        <f t="shared" ref="J180:J182" si="8">H180-I180</f>
        <v>-36800</v>
      </c>
      <c r="K180" s="1659"/>
      <c r="L180" s="1660"/>
      <c r="M180" s="668"/>
      <c r="N180" s="1788"/>
      <c r="O180" s="1789"/>
      <c r="P180" s="1790"/>
      <c r="Q180" s="1791"/>
      <c r="R180" s="1791"/>
      <c r="S180" s="1791"/>
      <c r="T180" s="1793"/>
      <c r="U180" s="1762"/>
      <c r="V180" s="1792"/>
    </row>
    <row r="181" spans="1:22" ht="18" customHeight="1">
      <c r="A181" s="1618"/>
      <c r="B181" s="1619"/>
      <c r="C181" s="1619"/>
      <c r="D181" s="1619"/>
      <c r="E181" s="1620"/>
      <c r="F181" s="1621" t="s">
        <v>1245</v>
      </c>
      <c r="G181" s="1621"/>
      <c r="H181" s="1868">
        <f>H182</f>
        <v>20800</v>
      </c>
      <c r="I181" s="1992">
        <v>57600</v>
      </c>
      <c r="J181" s="595">
        <f t="shared" si="8"/>
        <v>-36800</v>
      </c>
      <c r="K181" s="1075"/>
      <c r="L181" s="1054"/>
      <c r="M181" s="668"/>
      <c r="N181" s="1794"/>
      <c r="O181" s="1795"/>
      <c r="P181" s="1796"/>
      <c r="Q181" s="1797"/>
      <c r="R181" s="1798"/>
      <c r="S181" s="1798"/>
      <c r="T181" s="1799"/>
      <c r="U181" s="1664"/>
      <c r="V181" s="1664"/>
    </row>
    <row r="182" spans="1:22" ht="18" customHeight="1">
      <c r="A182" s="1618"/>
      <c r="B182" s="1619"/>
      <c r="C182" s="1619"/>
      <c r="D182" s="1619"/>
      <c r="E182" s="1619"/>
      <c r="F182" s="1622"/>
      <c r="G182" s="1628" t="s">
        <v>1246</v>
      </c>
      <c r="H182" s="683">
        <f>M182</f>
        <v>20800</v>
      </c>
      <c r="I182" s="1995">
        <v>57600</v>
      </c>
      <c r="J182" s="594">
        <f t="shared" si="8"/>
        <v>-36800</v>
      </c>
      <c r="K182" s="1693"/>
      <c r="L182" s="1693"/>
      <c r="M182" s="1824">
        <f>M183</f>
        <v>20800</v>
      </c>
      <c r="N182" s="1809"/>
      <c r="O182" s="1795">
        <f>SUM(O183:O186)</f>
        <v>75800</v>
      </c>
      <c r="P182" s="1796"/>
      <c r="Q182" s="1810"/>
      <c r="R182" s="1798"/>
      <c r="S182" s="1798"/>
      <c r="T182" s="1799"/>
      <c r="U182" s="1664"/>
      <c r="V182" s="1664"/>
    </row>
    <row r="183" spans="1:22" ht="18" customHeight="1">
      <c r="A183" s="1618"/>
      <c r="B183" s="1619"/>
      <c r="C183" s="1619"/>
      <c r="D183" s="1619"/>
      <c r="E183" s="1619"/>
      <c r="F183" s="1622"/>
      <c r="G183" s="1629"/>
      <c r="H183" s="683"/>
      <c r="I183" s="1996"/>
      <c r="J183" s="590"/>
      <c r="K183" s="1694" t="s">
        <v>2090</v>
      </c>
      <c r="L183" s="1695"/>
      <c r="M183" s="1824">
        <f>M184+M185+M186</f>
        <v>20800</v>
      </c>
      <c r="N183" s="1811" t="s">
        <v>2224</v>
      </c>
      <c r="O183" s="1665">
        <f>P183</f>
        <v>55000</v>
      </c>
      <c r="P183" s="1812">
        <f>Q183*R183</f>
        <v>55000</v>
      </c>
      <c r="Q183" s="1665">
        <v>55000</v>
      </c>
      <c r="R183" s="1665">
        <v>1</v>
      </c>
      <c r="S183" s="1798"/>
      <c r="T183" s="1799"/>
      <c r="U183" s="1664"/>
      <c r="V183" s="1664"/>
    </row>
    <row r="184" spans="1:22" ht="18" customHeight="1">
      <c r="A184" s="1618"/>
      <c r="B184" s="1619"/>
      <c r="C184" s="1619"/>
      <c r="D184" s="1619"/>
      <c r="E184" s="1619"/>
      <c r="F184" s="1622"/>
      <c r="G184" s="1629"/>
      <c r="H184" s="683"/>
      <c r="I184" s="1996"/>
      <c r="J184" s="590"/>
      <c r="K184" s="1823" t="s">
        <v>2091</v>
      </c>
      <c r="L184" s="1667" t="s">
        <v>242</v>
      </c>
      <c r="M184" s="666">
        <v>16500</v>
      </c>
      <c r="N184" s="1813"/>
      <c r="O184" s="1795">
        <f>P184/1000</f>
        <v>16500</v>
      </c>
      <c r="P184" s="1796">
        <f>Q184*R184</f>
        <v>16500000</v>
      </c>
      <c r="Q184" s="1810">
        <v>16500000</v>
      </c>
      <c r="R184" s="1798">
        <v>1</v>
      </c>
      <c r="S184" s="1798"/>
      <c r="T184" s="1799"/>
      <c r="U184" s="1664"/>
      <c r="V184" s="1664"/>
    </row>
    <row r="185" spans="1:22" ht="18" customHeight="1">
      <c r="A185" s="1618"/>
      <c r="B185" s="1619"/>
      <c r="C185" s="1619"/>
      <c r="D185" s="1619"/>
      <c r="E185" s="1619"/>
      <c r="F185" s="1622"/>
      <c r="G185" s="1629"/>
      <c r="H185" s="683"/>
      <c r="I185" s="1996"/>
      <c r="J185" s="845"/>
      <c r="K185" s="1666" t="s">
        <v>2092</v>
      </c>
      <c r="L185" s="1667" t="s">
        <v>464</v>
      </c>
      <c r="M185" s="666">
        <v>1500</v>
      </c>
      <c r="N185" s="1814" t="s">
        <v>2225</v>
      </c>
      <c r="O185" s="1815">
        <f>P185</f>
        <v>1500</v>
      </c>
      <c r="P185" s="1816">
        <f>Q185*R185</f>
        <v>1500</v>
      </c>
      <c r="Q185" s="1817">
        <v>1500</v>
      </c>
      <c r="R185" s="1818">
        <v>1</v>
      </c>
      <c r="S185" s="1818"/>
      <c r="T185" s="1799"/>
      <c r="U185" s="1664"/>
      <c r="V185" s="1664"/>
    </row>
    <row r="186" spans="1:22" ht="18" customHeight="1" thickBot="1">
      <c r="A186" s="1630"/>
      <c r="B186" s="1631"/>
      <c r="C186" s="1631"/>
      <c r="D186" s="1631"/>
      <c r="E186" s="1631"/>
      <c r="F186" s="1632"/>
      <c r="G186" s="1633"/>
      <c r="H186" s="1904"/>
      <c r="I186" s="1997"/>
      <c r="J186" s="849"/>
      <c r="K186" s="1668" t="s">
        <v>2093</v>
      </c>
      <c r="L186" s="1669" t="s">
        <v>464</v>
      </c>
      <c r="M186" s="1077">
        <v>2800</v>
      </c>
      <c r="N186" s="1814" t="s">
        <v>2226</v>
      </c>
      <c r="O186" s="1815">
        <f>P186</f>
        <v>2800</v>
      </c>
      <c r="P186" s="1816">
        <f>Q186*R186</f>
        <v>2800</v>
      </c>
      <c r="Q186" s="1817">
        <v>2800</v>
      </c>
      <c r="R186" s="1818">
        <v>1</v>
      </c>
      <c r="S186" s="1798"/>
      <c r="T186" s="1799"/>
      <c r="U186" s="1664"/>
      <c r="V186" s="1664"/>
    </row>
    <row r="187" spans="1:22" ht="18" customHeight="1">
      <c r="N187" s="1556"/>
      <c r="O187" s="1815"/>
      <c r="P187" s="1819"/>
      <c r="Q187" s="1820"/>
      <c r="R187" s="1821"/>
      <c r="S187" s="1821"/>
      <c r="T187" s="1741"/>
      <c r="U187" s="1702"/>
      <c r="V187" s="1702"/>
    </row>
    <row r="188" spans="1:22" ht="18" customHeight="1">
      <c r="N188" s="1556"/>
      <c r="O188" s="1815"/>
      <c r="P188" s="1819"/>
      <c r="Q188" s="1820"/>
      <c r="R188" s="1821"/>
      <c r="S188" s="1821"/>
      <c r="T188" s="1741"/>
      <c r="U188" s="1702"/>
      <c r="V188" s="1702"/>
    </row>
    <row r="189" spans="1:22" ht="18" customHeight="1">
      <c r="N189" s="1556"/>
      <c r="O189" s="1815"/>
      <c r="P189" s="1819"/>
      <c r="Q189" s="1820"/>
      <c r="R189" s="1821"/>
      <c r="S189" s="1821"/>
      <c r="T189" s="1741"/>
      <c r="U189" s="1702"/>
      <c r="V189" s="1702"/>
    </row>
    <row r="190" spans="1:22" ht="18" customHeight="1">
      <c r="N190" s="1556"/>
      <c r="O190" s="1815"/>
      <c r="P190" s="1819"/>
      <c r="Q190" s="1820"/>
      <c r="R190" s="1821"/>
      <c r="S190" s="1821"/>
      <c r="T190" s="1741"/>
      <c r="U190" s="1702"/>
      <c r="V190" s="1702"/>
    </row>
    <row r="191" spans="1:22" ht="18" customHeight="1">
      <c r="N191" s="1556"/>
      <c r="O191" s="1815"/>
      <c r="P191" s="1819"/>
      <c r="Q191" s="1820"/>
      <c r="R191" s="1821"/>
      <c r="S191" s="1821"/>
      <c r="T191" s="1741"/>
      <c r="U191" s="1702"/>
      <c r="V191" s="1702"/>
    </row>
    <row r="192" spans="1:22" ht="18" customHeight="1">
      <c r="N192" s="1556"/>
      <c r="O192" s="1815"/>
      <c r="P192" s="1819"/>
      <c r="Q192" s="1820"/>
      <c r="R192" s="1821"/>
      <c r="S192" s="1821"/>
      <c r="T192" s="1741"/>
      <c r="U192" s="1702"/>
      <c r="V192" s="1702"/>
    </row>
    <row r="193" spans="14:22" ht="18" customHeight="1">
      <c r="N193" s="1556"/>
      <c r="O193" s="1815"/>
      <c r="P193" s="1819"/>
      <c r="Q193" s="1820"/>
      <c r="R193" s="1821"/>
      <c r="S193" s="1821"/>
      <c r="T193" s="1741"/>
      <c r="U193" s="1702"/>
      <c r="V193" s="1702"/>
    </row>
    <row r="194" spans="14:22" ht="18" customHeight="1">
      <c r="N194" s="1556"/>
      <c r="O194" s="1815"/>
      <c r="P194" s="1819"/>
      <c r="Q194" s="1820"/>
      <c r="R194" s="1821"/>
      <c r="S194" s="1821"/>
      <c r="T194" s="1741"/>
      <c r="U194" s="1702"/>
      <c r="V194" s="1702"/>
    </row>
    <row r="195" spans="14:22" ht="18" customHeight="1">
      <c r="N195" s="1556"/>
      <c r="O195" s="1815"/>
      <c r="P195" s="1819"/>
      <c r="Q195" s="1820"/>
      <c r="R195" s="1821"/>
      <c r="S195" s="1821"/>
      <c r="T195" s="1741"/>
      <c r="U195" s="1702"/>
      <c r="V195" s="1702"/>
    </row>
    <row r="196" spans="14:22" ht="18" customHeight="1">
      <c r="N196" s="1556"/>
      <c r="O196" s="1815"/>
      <c r="P196" s="1819"/>
      <c r="Q196" s="1820"/>
      <c r="R196" s="1821"/>
      <c r="S196" s="1821"/>
      <c r="T196" s="1741"/>
      <c r="U196" s="1702"/>
      <c r="V196" s="1702"/>
    </row>
    <row r="197" spans="14:22" ht="18" customHeight="1">
      <c r="N197" s="1556"/>
      <c r="O197" s="1815"/>
      <c r="P197" s="1819"/>
      <c r="Q197" s="1820"/>
      <c r="R197" s="1821"/>
      <c r="S197" s="1821"/>
      <c r="T197" s="1741"/>
      <c r="U197" s="1702"/>
      <c r="V197" s="1702"/>
    </row>
    <row r="198" spans="14:22" ht="18" customHeight="1">
      <c r="N198" s="1556"/>
      <c r="O198" s="1815"/>
      <c r="P198" s="1819"/>
      <c r="Q198" s="1820"/>
      <c r="R198" s="1821"/>
      <c r="S198" s="1821"/>
      <c r="T198" s="1741"/>
      <c r="U198" s="1702"/>
      <c r="V198" s="1702"/>
    </row>
    <row r="199" spans="14:22" ht="18" customHeight="1">
      <c r="N199" s="1556"/>
      <c r="O199" s="1815"/>
      <c r="P199" s="1819"/>
      <c r="Q199" s="1820"/>
      <c r="R199" s="1821"/>
      <c r="S199" s="1821"/>
      <c r="T199" s="1741"/>
      <c r="U199" s="1702"/>
      <c r="V199" s="1702"/>
    </row>
    <row r="200" spans="14:22" ht="18" customHeight="1">
      <c r="N200" s="1556"/>
      <c r="O200" s="1815"/>
      <c r="P200" s="1819"/>
      <c r="Q200" s="1820"/>
      <c r="R200" s="1821"/>
      <c r="S200" s="1821"/>
      <c r="T200" s="1741"/>
      <c r="U200" s="1702"/>
      <c r="V200" s="1702"/>
    </row>
    <row r="201" spans="14:22" ht="18" customHeight="1">
      <c r="N201" s="1556"/>
      <c r="O201" s="1815"/>
      <c r="P201" s="1819"/>
      <c r="Q201" s="1820"/>
      <c r="R201" s="1821"/>
      <c r="S201" s="1821"/>
      <c r="T201" s="1741"/>
      <c r="U201" s="1702"/>
      <c r="V201" s="1702"/>
    </row>
    <row r="202" spans="14:22" ht="18" customHeight="1">
      <c r="N202" s="1556"/>
      <c r="O202" s="1815"/>
      <c r="P202" s="1819"/>
      <c r="Q202" s="1820"/>
      <c r="R202" s="1821"/>
      <c r="S202" s="1821"/>
      <c r="T202" s="1741"/>
      <c r="U202" s="1702"/>
      <c r="V202" s="1702"/>
    </row>
    <row r="203" spans="14:22" ht="18" customHeight="1">
      <c r="N203" s="1556"/>
      <c r="O203" s="1815"/>
      <c r="P203" s="1819"/>
      <c r="Q203" s="1820"/>
      <c r="R203" s="1821"/>
      <c r="S203" s="1821"/>
      <c r="T203" s="1741"/>
      <c r="U203" s="1702"/>
      <c r="V203" s="1702"/>
    </row>
    <row r="204" spans="14:22" ht="18" customHeight="1">
      <c r="N204" s="1556"/>
      <c r="O204" s="1815"/>
      <c r="P204" s="1819"/>
      <c r="Q204" s="1820"/>
      <c r="R204" s="1821"/>
      <c r="S204" s="1821"/>
      <c r="T204" s="1741"/>
      <c r="U204" s="1702"/>
      <c r="V204" s="1702"/>
    </row>
    <row r="205" spans="14:22" ht="18" customHeight="1">
      <c r="N205" s="1556"/>
      <c r="O205" s="1815"/>
      <c r="P205" s="1819"/>
      <c r="Q205" s="1820"/>
      <c r="R205" s="1821"/>
      <c r="S205" s="1821"/>
      <c r="T205" s="1741"/>
      <c r="U205" s="1702"/>
      <c r="V205" s="1702"/>
    </row>
    <row r="206" spans="14:22" ht="18" customHeight="1">
      <c r="N206" s="1556"/>
      <c r="O206" s="1815"/>
      <c r="P206" s="1819"/>
      <c r="Q206" s="1820"/>
      <c r="R206" s="1821"/>
      <c r="S206" s="1821"/>
      <c r="T206" s="1741"/>
      <c r="U206" s="1702"/>
      <c r="V206" s="1702"/>
    </row>
    <row r="207" spans="14:22" ht="18" customHeight="1">
      <c r="N207" s="1556"/>
      <c r="O207" s="1815"/>
      <c r="P207" s="1819"/>
      <c r="Q207" s="1820"/>
      <c r="R207" s="1821"/>
      <c r="S207" s="1821"/>
      <c r="T207" s="1741"/>
      <c r="U207" s="1702"/>
      <c r="V207" s="1702"/>
    </row>
    <row r="208" spans="14:22" ht="18" customHeight="1">
      <c r="N208" s="1556"/>
      <c r="O208" s="1815"/>
      <c r="P208" s="1819"/>
      <c r="Q208" s="1820"/>
      <c r="R208" s="1821"/>
      <c r="S208" s="1821"/>
      <c r="T208" s="1741"/>
      <c r="U208" s="1702"/>
      <c r="V208" s="1702"/>
    </row>
    <row r="209" spans="14:22" ht="18" customHeight="1">
      <c r="N209" s="1556"/>
      <c r="O209" s="1815"/>
      <c r="P209" s="1819"/>
      <c r="Q209" s="1820"/>
      <c r="R209" s="1821"/>
      <c r="S209" s="1821"/>
      <c r="T209" s="1741"/>
      <c r="U209" s="1702"/>
      <c r="V209" s="1702"/>
    </row>
  </sheetData>
  <protectedRanges>
    <protectedRange password="ECE8" sqref="O117:V117" name="작성자만수정_2_2"/>
    <protectedRange password="ECE8" sqref="O179:V181 O171:V173 O162:V167" name="작성자만수정_2_1_1"/>
    <protectedRange password="ECE8" sqref="O168:V170 O174:V178" name="작성자만수정_2_1_1_1"/>
    <protectedRange password="ECE8" sqref="O182:V186" name="작성자만수정_2_1_1_2"/>
  </protectedRanges>
  <mergeCells count="9">
    <mergeCell ref="K2:M3"/>
    <mergeCell ref="A4:G4"/>
    <mergeCell ref="N164:U164"/>
    <mergeCell ref="A2:A3"/>
    <mergeCell ref="B2:D2"/>
    <mergeCell ref="E2:G2"/>
    <mergeCell ref="H2:H3"/>
    <mergeCell ref="I2:I3"/>
    <mergeCell ref="J2:J3"/>
  </mergeCells>
  <phoneticPr fontId="3" type="noConversion"/>
  <conditionalFormatting sqref="J2:J3">
    <cfRule type="containsText" dxfId="5" priority="1" operator="containsText" text="허하나로">
      <formula>NOT(ISERROR(SEARCH("허하나로",H779)))</formula>
    </cfRule>
    <cfRule type="containsText" dxfId="4" priority="2" operator="containsText" text="한별">
      <formula>NOT(ISERROR(SEARCH("한별",H779)))</formula>
    </cfRule>
    <cfRule type="containsText" dxfId="3" priority="3" operator="containsText" text="정홍조">
      <formula>NOT(ISERROR(SEARCH("정홍조",H779)))</formula>
    </cfRule>
    <cfRule type="containsText" dxfId="2" priority="4" operator="containsText" text="김지윤">
      <formula>NOT(ISERROR(SEARCH("김지윤",H779)))</formula>
    </cfRule>
    <cfRule type="containsText" dxfId="1" priority="5" operator="containsText" text="전준영">
      <formula>NOT(ISERROR(SEARCH("전준영",H779)))</formula>
    </cfRule>
    <cfRule type="containsText" dxfId="0" priority="6" operator="containsText" text="차재성">
      <formula>NOT(ISERROR(SEARCH("차재성",H779)))</formula>
    </cfRule>
  </conditionalFormatting>
  <pageMargins left="0.94488188976377951" right="0.78740157480314965" top="0.6692913385826772" bottom="0.98425196850393704" header="0.51181102362204722" footer="0.51181102362204722"/>
  <pageSetup paperSize="9" scale="64" orientation="landscape" r:id="rId1"/>
  <colBreaks count="1" manualBreakCount="1">
    <brk id="13" max="18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6C93B-25B7-4F94-8A5A-6CA20168AC26}">
  <dimension ref="A1:K19"/>
  <sheetViews>
    <sheetView zoomScaleNormal="100" workbookViewId="0">
      <selection activeCell="J14" sqref="J14"/>
    </sheetView>
  </sheetViews>
  <sheetFormatPr defaultRowHeight="16.5"/>
  <cols>
    <col min="1" max="1" width="20.25" customWidth="1"/>
    <col min="2" max="2" width="8.25" customWidth="1"/>
  </cols>
  <sheetData>
    <row r="1" spans="1:11" ht="13.5" customHeight="1">
      <c r="A1" s="1832"/>
      <c r="B1" s="1832"/>
      <c r="C1" s="1832"/>
      <c r="D1" s="1832"/>
      <c r="E1" s="1832"/>
      <c r="F1" s="1832"/>
      <c r="G1" s="1832"/>
      <c r="H1" s="1832"/>
      <c r="I1" s="1832"/>
      <c r="J1" s="1832"/>
      <c r="K1" s="1832"/>
    </row>
    <row r="2" spans="1:11" ht="13.5" customHeight="1">
      <c r="A2" s="1832"/>
      <c r="B2" s="1832"/>
      <c r="C2" s="1832"/>
      <c r="D2" s="1832"/>
      <c r="E2" s="1832"/>
      <c r="F2" s="1832"/>
      <c r="G2" s="1832"/>
      <c r="H2" s="1832"/>
      <c r="I2" s="1832"/>
      <c r="J2" s="1832"/>
      <c r="K2" s="1832"/>
    </row>
    <row r="3" spans="1:11" ht="43.5" customHeight="1">
      <c r="A3" s="1832"/>
      <c r="B3" s="1832"/>
      <c r="C3" s="1832"/>
      <c r="D3" s="1832"/>
      <c r="E3" s="1832"/>
      <c r="F3" s="1832"/>
      <c r="G3" s="1832"/>
      <c r="H3" s="1832"/>
      <c r="I3" s="1832"/>
      <c r="J3" s="1832"/>
      <c r="K3" s="1832"/>
    </row>
    <row r="4" spans="1:11" ht="13.5" customHeight="1">
      <c r="A4" s="1832"/>
      <c r="B4" s="1832"/>
      <c r="C4" s="1832"/>
      <c r="D4" s="1832"/>
      <c r="E4" s="1832"/>
      <c r="F4" s="1832"/>
      <c r="G4" s="1832"/>
      <c r="H4" s="1832"/>
      <c r="I4" s="1832"/>
      <c r="J4" s="1832"/>
      <c r="K4" s="1832"/>
    </row>
    <row r="5" spans="1:11" ht="13.5" customHeight="1">
      <c r="A5" s="1832"/>
      <c r="B5" s="1832"/>
      <c r="C5" s="1832"/>
      <c r="D5" s="1832"/>
      <c r="E5" s="1832"/>
      <c r="F5" s="1832"/>
      <c r="G5" s="1832"/>
      <c r="H5" s="1832"/>
      <c r="I5" s="1832"/>
      <c r="J5" s="1832"/>
      <c r="K5" s="1832"/>
    </row>
    <row r="6" spans="1:11" ht="13.5" customHeight="1">
      <c r="A6" s="1832"/>
      <c r="B6" s="1832"/>
      <c r="C6" s="1832"/>
      <c r="D6" s="1832"/>
      <c r="E6" s="1832"/>
      <c r="F6" s="1832"/>
      <c r="G6" s="1832"/>
      <c r="H6" s="1832"/>
      <c r="I6" s="1832"/>
      <c r="J6" s="1832"/>
      <c r="K6" s="1832"/>
    </row>
    <row r="7" spans="1:11" ht="13.5" customHeight="1">
      <c r="A7" s="1832"/>
      <c r="B7" s="1832"/>
      <c r="C7" s="1832"/>
      <c r="D7" s="1832"/>
      <c r="E7" s="1832"/>
      <c r="F7" s="1832"/>
      <c r="G7" s="1832"/>
      <c r="H7" s="1832"/>
      <c r="I7" s="1832"/>
      <c r="J7" s="1832"/>
      <c r="K7" s="1832"/>
    </row>
    <row r="8" spans="1:11" ht="13.5" customHeight="1">
      <c r="A8" s="1832"/>
      <c r="B8" s="1832"/>
      <c r="C8" s="1832"/>
      <c r="D8" s="1832"/>
      <c r="E8" s="1832"/>
      <c r="F8" s="1832"/>
      <c r="G8" s="1832"/>
      <c r="H8" s="1832"/>
      <c r="I8" s="1832"/>
      <c r="J8" s="1832"/>
      <c r="K8" s="1832"/>
    </row>
    <row r="9" spans="1:11" ht="46.5" customHeight="1">
      <c r="A9" s="1832"/>
      <c r="B9" s="2460" t="s">
        <v>2228</v>
      </c>
      <c r="C9" s="2460"/>
      <c r="D9" s="2460"/>
      <c r="E9" s="2460"/>
      <c r="F9" s="2460"/>
      <c r="G9" s="2460"/>
      <c r="H9" s="2460"/>
      <c r="I9" s="2460"/>
      <c r="J9" s="2460"/>
      <c r="K9" s="1832"/>
    </row>
    <row r="10" spans="1:11" ht="13.5" customHeight="1">
      <c r="A10" s="1832"/>
      <c r="B10" s="1832"/>
      <c r="C10" s="1832"/>
      <c r="D10" s="1832"/>
      <c r="E10" s="1832"/>
      <c r="F10" s="1832"/>
      <c r="G10" s="1832"/>
      <c r="H10" s="1832"/>
      <c r="I10" s="1832"/>
      <c r="J10" s="1832"/>
      <c r="K10" s="1832"/>
    </row>
    <row r="11" spans="1:11" ht="13.5" customHeight="1">
      <c r="A11" s="1832"/>
      <c r="B11" s="1832"/>
      <c r="C11" s="1832"/>
      <c r="D11" s="1832"/>
      <c r="E11" s="1832"/>
      <c r="F11" s="1832"/>
      <c r="G11" s="1832"/>
      <c r="H11" s="1832"/>
      <c r="I11" s="1832"/>
      <c r="J11" s="1832"/>
      <c r="K11" s="1832"/>
    </row>
    <row r="12" spans="1:11" ht="46.5" customHeight="1">
      <c r="A12" s="1832"/>
      <c r="B12" s="1832"/>
      <c r="C12" s="1833"/>
      <c r="D12" s="1833"/>
      <c r="E12" s="1833"/>
      <c r="F12" s="1833"/>
      <c r="G12" s="1833"/>
      <c r="H12" s="1833"/>
      <c r="I12" s="1833"/>
      <c r="J12" s="1833"/>
      <c r="K12" s="1834"/>
    </row>
    <row r="13" spans="1:11" ht="13.5" customHeight="1">
      <c r="A13" s="1832"/>
      <c r="B13" s="1832"/>
      <c r="C13" s="1832"/>
      <c r="D13" s="1832"/>
      <c r="E13" s="1832"/>
      <c r="F13" s="1832"/>
      <c r="G13" s="1832"/>
      <c r="H13" s="1832"/>
      <c r="I13" s="1832"/>
      <c r="J13" s="1832"/>
      <c r="K13" s="1832"/>
    </row>
    <row r="14" spans="1:11" ht="13.5" customHeight="1">
      <c r="A14" s="1832"/>
      <c r="B14" s="1832"/>
      <c r="C14" s="1832"/>
      <c r="D14" s="1832"/>
      <c r="E14" s="1832"/>
      <c r="F14" s="1832"/>
      <c r="G14" s="1832"/>
      <c r="H14" s="1832"/>
      <c r="I14" s="1832"/>
      <c r="J14" s="1832"/>
      <c r="K14" s="1832"/>
    </row>
    <row r="15" spans="1:11" ht="29.45" customHeight="1">
      <c r="A15" s="1832"/>
      <c r="B15" s="1832"/>
      <c r="C15" s="1832"/>
      <c r="D15" s="1832"/>
      <c r="E15" s="1832"/>
      <c r="F15" s="1832"/>
      <c r="G15" s="1832"/>
      <c r="H15" s="1832"/>
      <c r="I15" s="1832"/>
      <c r="J15" s="1832"/>
      <c r="K15" s="1832"/>
    </row>
    <row r="16" spans="1:11" ht="13.5" customHeight="1">
      <c r="A16" s="1832"/>
      <c r="B16" s="1832"/>
      <c r="C16" s="1832"/>
      <c r="D16" s="1832"/>
      <c r="E16" s="1832"/>
      <c r="F16" s="1832"/>
      <c r="G16" s="1832"/>
      <c r="H16" s="1832"/>
      <c r="I16" s="1832"/>
      <c r="J16" s="1832"/>
      <c r="K16" s="1832"/>
    </row>
    <row r="17" spans="1:11" ht="13.5" customHeight="1">
      <c r="A17" s="1832"/>
      <c r="B17" s="1832"/>
      <c r="C17" s="1832"/>
      <c r="D17" s="1832"/>
      <c r="E17" s="1832"/>
      <c r="F17" s="1832"/>
      <c r="G17" s="1832"/>
      <c r="H17" s="1832"/>
      <c r="I17" s="1832"/>
      <c r="J17" s="1832"/>
      <c r="K17" s="1832"/>
    </row>
    <row r="18" spans="1:11" ht="13.5" customHeight="1">
      <c r="A18" s="1832"/>
      <c r="B18" s="1832"/>
      <c r="C18" s="1832"/>
      <c r="D18" s="1832"/>
      <c r="E18" s="1832"/>
      <c r="F18" s="1832"/>
      <c r="G18" s="1832"/>
      <c r="H18" s="1832"/>
      <c r="I18" s="1832"/>
      <c r="J18" s="1832"/>
      <c r="K18" s="1832"/>
    </row>
    <row r="19" spans="1:11" ht="30" customHeight="1">
      <c r="A19" s="1832"/>
      <c r="B19" s="1832"/>
      <c r="C19" s="1832"/>
      <c r="D19" s="1832"/>
      <c r="E19" s="1832"/>
      <c r="F19" s="1832"/>
      <c r="G19" s="1832"/>
      <c r="H19" s="1832"/>
      <c r="I19" s="1832"/>
      <c r="J19" s="1832"/>
      <c r="K19" s="1832"/>
    </row>
  </sheetData>
  <mergeCells count="1">
    <mergeCell ref="B9:J9"/>
  </mergeCells>
  <phoneticPr fontId="3" type="noConversion"/>
  <pageMargins left="0.94488188976377951" right="0.78740157480314965" top="0.6692913385826772" bottom="0.98425196850393704" header="0.51181102362204722" footer="0.51181102362204722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B7364-AA9C-453A-BB56-AECE7CADE654}">
  <dimension ref="A1:F22"/>
  <sheetViews>
    <sheetView zoomScaleNormal="100" workbookViewId="0">
      <selection activeCell="J14" sqref="J14"/>
    </sheetView>
  </sheetViews>
  <sheetFormatPr defaultRowHeight="16.5"/>
  <cols>
    <col min="1" max="1" width="19.25" customWidth="1"/>
    <col min="2" max="2" width="22.625" customWidth="1"/>
    <col min="3" max="5" width="21.75" customWidth="1"/>
    <col min="6" max="6" width="16.25" customWidth="1"/>
  </cols>
  <sheetData>
    <row r="1" spans="1:6" ht="27.75" customHeight="1">
      <c r="A1" s="1835" t="s">
        <v>2229</v>
      </c>
      <c r="B1" s="1835"/>
      <c r="C1" s="1835"/>
      <c r="D1" s="1835"/>
      <c r="E1" s="1835"/>
      <c r="F1" s="1835"/>
    </row>
    <row r="2" spans="1:6" ht="22.5" customHeight="1" thickBot="1">
      <c r="A2" s="1842" t="s">
        <v>2230</v>
      </c>
      <c r="B2" s="1842"/>
      <c r="C2" s="1836"/>
      <c r="D2" s="1836"/>
      <c r="E2" s="1836"/>
      <c r="F2" s="1837" t="s">
        <v>2235</v>
      </c>
    </row>
    <row r="3" spans="1:6" ht="33" customHeight="1" thickBot="1">
      <c r="A3" s="2463" t="s">
        <v>2231</v>
      </c>
      <c r="B3" s="2464"/>
      <c r="C3" s="1838" t="s">
        <v>2232</v>
      </c>
      <c r="D3" s="1838" t="s">
        <v>2233</v>
      </c>
      <c r="E3" s="1838" t="s">
        <v>2234</v>
      </c>
      <c r="F3" s="1839" t="s">
        <v>22</v>
      </c>
    </row>
    <row r="4" spans="1:6" ht="21" customHeight="1">
      <c r="A4" s="2127" t="s">
        <v>2236</v>
      </c>
      <c r="B4" s="2128"/>
      <c r="C4" s="2129">
        <f>C5+C10+C13+C15+C17+C19+C21</f>
        <v>51171596</v>
      </c>
      <c r="D4" s="2129">
        <f>D5+D10+D13+D15+D17+D19+D21</f>
        <v>47211348</v>
      </c>
      <c r="E4" s="2129">
        <f t="shared" ref="E4:E22" si="0">C4-D4</f>
        <v>3960248</v>
      </c>
      <c r="F4" s="23"/>
    </row>
    <row r="5" spans="1:6" ht="21" customHeight="1">
      <c r="A5" s="2461" t="s">
        <v>137</v>
      </c>
      <c r="B5" s="1843" t="s">
        <v>2237</v>
      </c>
      <c r="C5" s="1846">
        <f>SUM(C6:C9)</f>
        <v>47061935</v>
      </c>
      <c r="D5" s="1846">
        <f>SUM(D6:D9)</f>
        <v>45601358</v>
      </c>
      <c r="E5" s="1846">
        <f t="shared" si="0"/>
        <v>1460577</v>
      </c>
      <c r="F5" s="21"/>
    </row>
    <row r="6" spans="1:6" ht="21" customHeight="1">
      <c r="A6" s="2461"/>
      <c r="B6" s="1845" t="s">
        <v>172</v>
      </c>
      <c r="C6" s="1847">
        <v>0</v>
      </c>
      <c r="D6" s="1847">
        <v>0</v>
      </c>
      <c r="E6" s="1847">
        <f t="shared" si="0"/>
        <v>0</v>
      </c>
      <c r="F6" s="2014"/>
    </row>
    <row r="7" spans="1:6" ht="21" customHeight="1">
      <c r="A7" s="2461"/>
      <c r="B7" s="1840" t="s">
        <v>173</v>
      </c>
      <c r="C7" s="1848">
        <v>0</v>
      </c>
      <c r="D7" s="1848">
        <v>0</v>
      </c>
      <c r="E7" s="1848">
        <f t="shared" si="0"/>
        <v>0</v>
      </c>
      <c r="F7" s="2015"/>
    </row>
    <row r="8" spans="1:6" ht="21" customHeight="1">
      <c r="A8" s="2461"/>
      <c r="B8" s="1840" t="s">
        <v>2238</v>
      </c>
      <c r="C8" s="1848">
        <v>0</v>
      </c>
      <c r="D8" s="1848">
        <v>0</v>
      </c>
      <c r="E8" s="1848">
        <f t="shared" si="0"/>
        <v>0</v>
      </c>
      <c r="F8" s="2015"/>
    </row>
    <row r="9" spans="1:6" ht="21" customHeight="1">
      <c r="A9" s="2461"/>
      <c r="B9" s="1844" t="s">
        <v>2239</v>
      </c>
      <c r="C9" s="1849">
        <f>'가. 수입예산 총괄표(사업수익+자본적수입)'!F9</f>
        <v>47061935</v>
      </c>
      <c r="D9" s="1849">
        <f>'가. 수입예산 총괄표(사업수익+자본적수입)'!G9</f>
        <v>45601358</v>
      </c>
      <c r="E9" s="1849">
        <f t="shared" si="0"/>
        <v>1460577</v>
      </c>
      <c r="F9" s="23"/>
    </row>
    <row r="10" spans="1:6" ht="21" customHeight="1">
      <c r="A10" s="2461" t="s">
        <v>161</v>
      </c>
      <c r="B10" s="1841" t="s">
        <v>2237</v>
      </c>
      <c r="C10" s="1847">
        <f>SUM(C11:C12)</f>
        <v>0</v>
      </c>
      <c r="D10" s="1847">
        <f>SUM(D11:D12)</f>
        <v>0</v>
      </c>
      <c r="E10" s="1847">
        <f t="shared" si="0"/>
        <v>0</v>
      </c>
      <c r="F10" s="2014"/>
    </row>
    <row r="11" spans="1:6" ht="21" customHeight="1">
      <c r="A11" s="2461"/>
      <c r="B11" s="1840" t="s">
        <v>2240</v>
      </c>
      <c r="C11" s="1848">
        <v>0</v>
      </c>
      <c r="D11" s="1848">
        <v>0</v>
      </c>
      <c r="E11" s="1848">
        <f t="shared" si="0"/>
        <v>0</v>
      </c>
      <c r="F11" s="2015"/>
    </row>
    <row r="12" spans="1:6" ht="21" customHeight="1">
      <c r="A12" s="2461"/>
      <c r="B12" s="1844" t="s">
        <v>2241</v>
      </c>
      <c r="C12" s="1849">
        <f>'가. 수입예산 총괄표(사업수익+자본적수입)'!F25</f>
        <v>0</v>
      </c>
      <c r="D12" s="1849">
        <f>'가. 수입예산 총괄표(사업수익+자본적수입)'!G25</f>
        <v>0</v>
      </c>
      <c r="E12" s="1849">
        <f t="shared" si="0"/>
        <v>0</v>
      </c>
      <c r="F12" s="23"/>
    </row>
    <row r="13" spans="1:6" ht="21" customHeight="1">
      <c r="A13" s="2461" t="s">
        <v>150</v>
      </c>
      <c r="B13" s="1841" t="s">
        <v>2237</v>
      </c>
      <c r="C13" s="1847">
        <f>C14</f>
        <v>0</v>
      </c>
      <c r="D13" s="1847">
        <f>D14</f>
        <v>0</v>
      </c>
      <c r="E13" s="1847">
        <f t="shared" si="0"/>
        <v>0</v>
      </c>
      <c r="F13" s="2014"/>
    </row>
    <row r="14" spans="1:6" ht="21" customHeight="1">
      <c r="A14" s="2461"/>
      <c r="B14" s="1844" t="s">
        <v>2242</v>
      </c>
      <c r="C14" s="1849">
        <v>0</v>
      </c>
      <c r="D14" s="1849">
        <v>0</v>
      </c>
      <c r="E14" s="1849">
        <f t="shared" si="0"/>
        <v>0</v>
      </c>
      <c r="F14" s="23"/>
    </row>
    <row r="15" spans="1:6" ht="21" customHeight="1">
      <c r="A15" s="2461" t="s">
        <v>151</v>
      </c>
      <c r="B15" s="1841" t="s">
        <v>2237</v>
      </c>
      <c r="C15" s="1847">
        <f>C16</f>
        <v>0</v>
      </c>
      <c r="D15" s="1847">
        <f>D16</f>
        <v>0</v>
      </c>
      <c r="E15" s="1847">
        <f t="shared" si="0"/>
        <v>0</v>
      </c>
      <c r="F15" s="2014"/>
    </row>
    <row r="16" spans="1:6" ht="21" customHeight="1">
      <c r="A16" s="2461"/>
      <c r="B16" s="1844" t="s">
        <v>196</v>
      </c>
      <c r="C16" s="1849">
        <v>0</v>
      </c>
      <c r="D16" s="1849">
        <v>0</v>
      </c>
      <c r="E16" s="1849">
        <f t="shared" si="0"/>
        <v>0</v>
      </c>
      <c r="F16" s="23"/>
    </row>
    <row r="17" spans="1:6" ht="21" customHeight="1">
      <c r="A17" s="2461" t="s">
        <v>152</v>
      </c>
      <c r="B17" s="1841" t="s">
        <v>2237</v>
      </c>
      <c r="C17" s="1847">
        <f>C18</f>
        <v>3609661</v>
      </c>
      <c r="D17" s="1847">
        <f>D18</f>
        <v>1109990</v>
      </c>
      <c r="E17" s="2053">
        <f t="shared" si="0"/>
        <v>2499671</v>
      </c>
      <c r="F17" s="2014"/>
    </row>
    <row r="18" spans="1:6" ht="21" customHeight="1">
      <c r="A18" s="2461"/>
      <c r="B18" s="1844" t="s">
        <v>152</v>
      </c>
      <c r="C18" s="1849">
        <f>'3-2. 자본예산총괄표'!C17</f>
        <v>3609661</v>
      </c>
      <c r="D18" s="1849">
        <f>'가. 수입예산 총괄표(사업수익+자본적수입)'!G30</f>
        <v>1109990</v>
      </c>
      <c r="E18" s="2126">
        <f t="shared" si="0"/>
        <v>2499671</v>
      </c>
      <c r="F18" s="23"/>
    </row>
    <row r="19" spans="1:6" ht="21" customHeight="1">
      <c r="A19" s="2461" t="s">
        <v>162</v>
      </c>
      <c r="B19" s="1841" t="s">
        <v>2237</v>
      </c>
      <c r="C19" s="1847">
        <f>C20</f>
        <v>500000</v>
      </c>
      <c r="D19" s="1847">
        <f>D20</f>
        <v>500000</v>
      </c>
      <c r="E19" s="1847">
        <f t="shared" si="0"/>
        <v>0</v>
      </c>
      <c r="F19" s="2014"/>
    </row>
    <row r="20" spans="1:6" ht="21" customHeight="1">
      <c r="A20" s="2461"/>
      <c r="B20" s="1844" t="s">
        <v>153</v>
      </c>
      <c r="C20" s="1849">
        <v>500000</v>
      </c>
      <c r="D20" s="1849">
        <v>500000</v>
      </c>
      <c r="E20" s="1849">
        <f t="shared" si="0"/>
        <v>0</v>
      </c>
      <c r="F20" s="23"/>
    </row>
    <row r="21" spans="1:6" ht="21" customHeight="1">
      <c r="A21" s="2461" t="s">
        <v>2243</v>
      </c>
      <c r="B21" s="1841" t="s">
        <v>2237</v>
      </c>
      <c r="C21" s="1847">
        <f>C22</f>
        <v>0</v>
      </c>
      <c r="D21" s="1847">
        <f>D22</f>
        <v>0</v>
      </c>
      <c r="E21" s="1847">
        <f t="shared" si="0"/>
        <v>0</v>
      </c>
      <c r="F21" s="2014"/>
    </row>
    <row r="22" spans="1:6" ht="21" customHeight="1" thickBot="1">
      <c r="A22" s="2462"/>
      <c r="B22" s="2016" t="s">
        <v>2244</v>
      </c>
      <c r="C22" s="2017">
        <v>0</v>
      </c>
      <c r="D22" s="2017">
        <v>0</v>
      </c>
      <c r="E22" s="2017">
        <f t="shared" si="0"/>
        <v>0</v>
      </c>
      <c r="F22" s="24"/>
    </row>
  </sheetData>
  <mergeCells count="8">
    <mergeCell ref="A19:A20"/>
    <mergeCell ref="A21:A22"/>
    <mergeCell ref="A3:B3"/>
    <mergeCell ref="A5:A9"/>
    <mergeCell ref="A10:A12"/>
    <mergeCell ref="A13:A14"/>
    <mergeCell ref="A15:A16"/>
    <mergeCell ref="A17:A18"/>
  </mergeCells>
  <phoneticPr fontId="3" type="noConversion"/>
  <pageMargins left="0.94488188976377951" right="0.78740157480314965" top="0.6692913385826772" bottom="0.98425196850393704" header="0.51181102362204722" footer="0.51181102362204722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9B97-DB7F-4383-A099-48EFE0F4A6BC}">
  <dimension ref="A1:L16"/>
  <sheetViews>
    <sheetView zoomScaleNormal="100" workbookViewId="0">
      <selection activeCell="D15" sqref="D15:H15"/>
    </sheetView>
  </sheetViews>
  <sheetFormatPr defaultRowHeight="16.5"/>
  <cols>
    <col min="1" max="1" width="8" customWidth="1"/>
    <col min="2" max="2" width="14.875" customWidth="1"/>
    <col min="3" max="3" width="12.75" customWidth="1"/>
    <col min="8" max="8" width="9.625" customWidth="1"/>
    <col min="9" max="9" width="6.625" customWidth="1"/>
  </cols>
  <sheetData>
    <row r="1" spans="1:12" ht="52.5" customHeight="1">
      <c r="A1" s="2236" t="s">
        <v>3</v>
      </c>
      <c r="B1" s="2236"/>
      <c r="C1" s="2236"/>
      <c r="D1" s="2236"/>
      <c r="E1" s="2236"/>
      <c r="F1" s="2236"/>
      <c r="G1" s="2236"/>
      <c r="H1" s="2236"/>
      <c r="I1" s="2236"/>
      <c r="J1" s="2236"/>
      <c r="K1" s="2236"/>
      <c r="L1" s="2236"/>
    </row>
    <row r="2" spans="1:12" ht="30" customHeight="1">
      <c r="A2" s="7"/>
      <c r="B2" s="7"/>
      <c r="C2" s="8"/>
      <c r="D2" s="2237" t="s">
        <v>4</v>
      </c>
      <c r="E2" s="2237"/>
      <c r="F2" s="2237"/>
      <c r="G2" s="2237"/>
      <c r="H2" s="2237"/>
      <c r="I2" s="9">
        <v>1</v>
      </c>
      <c r="J2" s="8"/>
      <c r="K2" s="10"/>
      <c r="L2" s="10"/>
    </row>
    <row r="3" spans="1:12" ht="18.75">
      <c r="A3" s="7"/>
      <c r="B3" s="7"/>
      <c r="C3" s="8"/>
      <c r="D3" s="11"/>
      <c r="E3" s="11"/>
      <c r="F3" s="11"/>
      <c r="G3" s="11"/>
      <c r="H3" s="11"/>
      <c r="I3" s="9"/>
      <c r="J3" s="8"/>
      <c r="K3" s="10"/>
      <c r="L3" s="10"/>
    </row>
    <row r="4" spans="1:12" ht="30" customHeight="1">
      <c r="A4" s="7"/>
      <c r="B4" s="7"/>
      <c r="C4" s="8"/>
      <c r="D4" s="2237" t="s">
        <v>5</v>
      </c>
      <c r="E4" s="2237"/>
      <c r="F4" s="2237"/>
      <c r="G4" s="2237"/>
      <c r="H4" s="2237"/>
      <c r="I4" s="9">
        <v>3</v>
      </c>
      <c r="J4" s="8"/>
      <c r="K4" s="10"/>
      <c r="L4" s="10"/>
    </row>
    <row r="5" spans="1:12" ht="18.75">
      <c r="A5" s="7"/>
      <c r="B5" s="7"/>
      <c r="C5" s="8"/>
      <c r="D5" s="11"/>
      <c r="E5" s="11"/>
      <c r="F5" s="11"/>
      <c r="G5" s="11"/>
      <c r="H5" s="11"/>
      <c r="I5" s="9"/>
      <c r="J5" s="8"/>
      <c r="K5" s="10"/>
      <c r="L5" s="10"/>
    </row>
    <row r="6" spans="1:12" ht="30" customHeight="1">
      <c r="A6" s="7"/>
      <c r="B6" s="7"/>
      <c r="C6" s="8"/>
      <c r="D6" s="2237" t="s">
        <v>6</v>
      </c>
      <c r="E6" s="2237"/>
      <c r="F6" s="2237"/>
      <c r="G6" s="2237"/>
      <c r="H6" s="2237"/>
      <c r="I6" s="9">
        <v>6</v>
      </c>
      <c r="J6" s="8"/>
      <c r="K6" s="10"/>
      <c r="L6" s="10"/>
    </row>
    <row r="7" spans="1:12" ht="30" customHeight="1">
      <c r="A7" s="7"/>
      <c r="B7" s="7"/>
      <c r="C7" s="8"/>
      <c r="D7" s="11" t="s">
        <v>7</v>
      </c>
      <c r="E7" s="8"/>
      <c r="F7" s="8"/>
      <c r="G7" s="8"/>
      <c r="H7" s="8"/>
      <c r="I7" s="9">
        <v>8</v>
      </c>
      <c r="J7" s="8"/>
      <c r="K7" s="10"/>
      <c r="L7" s="10"/>
    </row>
    <row r="8" spans="1:12" ht="30" customHeight="1">
      <c r="A8" s="7"/>
      <c r="B8" s="7"/>
      <c r="C8" s="8"/>
      <c r="D8" s="2237" t="s">
        <v>8</v>
      </c>
      <c r="E8" s="2237"/>
      <c r="F8" s="2237"/>
      <c r="G8" s="2237"/>
      <c r="H8" s="2237"/>
      <c r="I8" s="9">
        <v>9</v>
      </c>
      <c r="J8" s="8"/>
      <c r="K8" s="10"/>
      <c r="L8" s="10"/>
    </row>
    <row r="9" spans="1:12" ht="30" customHeight="1">
      <c r="A9" s="7"/>
      <c r="B9" s="7"/>
      <c r="C9" s="8"/>
      <c r="D9" s="2235" t="s">
        <v>9</v>
      </c>
      <c r="E9" s="2235"/>
      <c r="F9" s="2235"/>
      <c r="G9" s="2235"/>
      <c r="H9" s="2235"/>
      <c r="I9" s="9">
        <v>10</v>
      </c>
      <c r="J9" s="8"/>
      <c r="K9" s="10"/>
      <c r="L9" s="10"/>
    </row>
    <row r="10" spans="1:12" ht="30" customHeight="1">
      <c r="A10" s="7"/>
      <c r="B10" s="7"/>
      <c r="C10" s="8"/>
      <c r="D10" s="2235" t="s">
        <v>10</v>
      </c>
      <c r="E10" s="2235"/>
      <c r="F10" s="2235"/>
      <c r="G10" s="2235"/>
      <c r="H10" s="2235"/>
      <c r="I10" s="9">
        <v>12</v>
      </c>
      <c r="J10" s="8"/>
      <c r="K10" s="10"/>
      <c r="L10" s="10"/>
    </row>
    <row r="11" spans="1:12" ht="30" customHeight="1">
      <c r="A11" s="7"/>
      <c r="B11" s="7"/>
      <c r="C11" s="8"/>
      <c r="D11" s="2235" t="s">
        <v>11</v>
      </c>
      <c r="E11" s="2235"/>
      <c r="F11" s="2235"/>
      <c r="G11" s="2235"/>
      <c r="H11" s="2235"/>
      <c r="I11" s="9">
        <v>26</v>
      </c>
      <c r="J11" s="8"/>
      <c r="K11" s="10"/>
      <c r="L11" s="10"/>
    </row>
    <row r="12" spans="1:12" ht="18.75">
      <c r="A12" s="7"/>
      <c r="B12" s="7"/>
      <c r="C12" s="8"/>
      <c r="D12" s="12"/>
      <c r="E12" s="2238"/>
      <c r="F12" s="2238"/>
      <c r="G12" s="2238"/>
      <c r="H12" s="2238"/>
      <c r="I12" s="9"/>
      <c r="J12" s="8"/>
      <c r="K12" s="10"/>
      <c r="L12" s="10"/>
    </row>
    <row r="13" spans="1:12" ht="30" customHeight="1">
      <c r="A13" s="7"/>
      <c r="B13" s="7"/>
      <c r="C13" s="8"/>
      <c r="D13" s="2237" t="s">
        <v>12</v>
      </c>
      <c r="E13" s="2237"/>
      <c r="F13" s="2237"/>
      <c r="G13" s="2237"/>
      <c r="H13" s="2237"/>
      <c r="I13" s="9">
        <v>70</v>
      </c>
      <c r="J13" s="8"/>
      <c r="K13" s="10"/>
      <c r="L13" s="10"/>
    </row>
    <row r="14" spans="1:12" ht="30" customHeight="1">
      <c r="A14" s="13"/>
      <c r="B14" s="7"/>
      <c r="C14" s="8"/>
      <c r="D14" s="2235" t="s">
        <v>13</v>
      </c>
      <c r="E14" s="2235"/>
      <c r="F14" s="2235"/>
      <c r="G14" s="2235"/>
      <c r="H14" s="2235"/>
      <c r="I14" s="9">
        <v>71</v>
      </c>
      <c r="J14" s="8"/>
      <c r="K14" s="10"/>
      <c r="L14" s="10"/>
    </row>
    <row r="15" spans="1:12" ht="30" customHeight="1">
      <c r="A15" s="7"/>
      <c r="B15" s="7"/>
      <c r="C15" s="8"/>
      <c r="D15" s="2235" t="s">
        <v>14</v>
      </c>
      <c r="E15" s="2235"/>
      <c r="F15" s="2235"/>
      <c r="G15" s="2235"/>
      <c r="H15" s="2235"/>
      <c r="I15" s="9">
        <v>72</v>
      </c>
      <c r="J15" s="8"/>
      <c r="K15" s="10"/>
      <c r="L15" s="10"/>
    </row>
    <row r="16" spans="1:12" ht="22.5" customHeight="1">
      <c r="A16" s="7"/>
      <c r="B16" s="7"/>
      <c r="C16" s="8"/>
      <c r="D16" s="12"/>
      <c r="E16" s="14"/>
      <c r="F16" s="14"/>
      <c r="G16" s="14"/>
      <c r="H16" s="14"/>
      <c r="I16" s="9"/>
      <c r="J16" s="8"/>
      <c r="K16" s="10"/>
      <c r="L16" s="10"/>
    </row>
  </sheetData>
  <mergeCells count="12">
    <mergeCell ref="D15:H15"/>
    <mergeCell ref="A1:L1"/>
    <mergeCell ref="D2:H2"/>
    <mergeCell ref="D4:H4"/>
    <mergeCell ref="D6:H6"/>
    <mergeCell ref="D8:H8"/>
    <mergeCell ref="D9:H9"/>
    <mergeCell ref="D10:H10"/>
    <mergeCell ref="D11:H11"/>
    <mergeCell ref="E12:H12"/>
    <mergeCell ref="D13:H13"/>
    <mergeCell ref="D14:H14"/>
  </mergeCells>
  <phoneticPr fontId="3" type="noConversion"/>
  <pageMargins left="0.94488188976377963" right="0.78740157480314965" top="0.6692913385826772" bottom="0.98425196850393704" header="0.51181102362204722" footer="0.51181102362204722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5A2B6-D172-4836-94BA-A6BA548C3BD4}">
  <dimension ref="A1:G38"/>
  <sheetViews>
    <sheetView zoomScaleNormal="100" workbookViewId="0">
      <selection activeCell="D20" sqref="D20"/>
    </sheetView>
  </sheetViews>
  <sheetFormatPr defaultRowHeight="16.5"/>
  <cols>
    <col min="1" max="1" width="5.875" customWidth="1"/>
    <col min="2" max="2" width="15.5" customWidth="1"/>
    <col min="3" max="3" width="37" customWidth="1"/>
    <col min="4" max="7" width="25.625" customWidth="1"/>
  </cols>
  <sheetData>
    <row r="1" spans="1:7" ht="25.5" customHeight="1" thickBot="1">
      <c r="A1" s="2467" t="s">
        <v>2245</v>
      </c>
      <c r="B1" s="2467"/>
      <c r="C1" s="2467"/>
      <c r="D1" s="1998"/>
      <c r="E1" s="1999"/>
      <c r="F1" s="2000"/>
      <c r="G1" s="2001" t="s">
        <v>2247</v>
      </c>
    </row>
    <row r="2" spans="1:7" ht="30" customHeight="1" thickBot="1">
      <c r="A2" s="2468" t="s">
        <v>2246</v>
      </c>
      <c r="B2" s="2469"/>
      <c r="C2" s="2470"/>
      <c r="D2" s="1838" t="s">
        <v>2232</v>
      </c>
      <c r="E2" s="1838" t="s">
        <v>2233</v>
      </c>
      <c r="F2" s="1838" t="s">
        <v>2234</v>
      </c>
      <c r="G2" s="1839" t="s">
        <v>22</v>
      </c>
    </row>
    <row r="3" spans="1:7" ht="21.75" customHeight="1" thickBot="1">
      <c r="A3" s="2471" t="s">
        <v>2248</v>
      </c>
      <c r="B3" s="2472"/>
      <c r="C3" s="2473"/>
      <c r="D3" s="2130">
        <f>D4+D22+D23+D25+D27+D30+D32+D34+D36</f>
        <v>51171596</v>
      </c>
      <c r="E3" s="2130">
        <f>E4+E22+E23+E25+E27+E30+E32+E34+E36</f>
        <v>47211348</v>
      </c>
      <c r="F3" s="2131">
        <f>D3-E3</f>
        <v>3960248</v>
      </c>
      <c r="G3" s="2013"/>
    </row>
    <row r="4" spans="1:7" ht="15.95" customHeight="1">
      <c r="A4" s="2002"/>
      <c r="B4" s="2474" t="s">
        <v>2249</v>
      </c>
      <c r="C4" s="2475"/>
      <c r="D4" s="2132">
        <f>D5+D10+D15+D19</f>
        <v>50671596</v>
      </c>
      <c r="E4" s="2132">
        <f>E5+E10+E15+E19</f>
        <v>46711348</v>
      </c>
      <c r="F4" s="2133">
        <f>D4-E4</f>
        <v>3960248</v>
      </c>
      <c r="G4" s="127"/>
    </row>
    <row r="5" spans="1:7" ht="15.95" customHeight="1">
      <c r="A5" s="2003"/>
      <c r="B5" s="2004" t="s">
        <v>2250</v>
      </c>
      <c r="C5" s="2009" t="s">
        <v>2237</v>
      </c>
      <c r="D5" s="2134">
        <f>D6+D7+D8+D9</f>
        <v>2190135</v>
      </c>
      <c r="E5" s="2134">
        <f>E6+E7+E8+E9</f>
        <v>2395168</v>
      </c>
      <c r="F5" s="2135">
        <f>D5-E5</f>
        <v>-205033</v>
      </c>
      <c r="G5" s="21"/>
    </row>
    <row r="6" spans="1:7" ht="15.95" customHeight="1">
      <c r="A6" s="2005"/>
      <c r="B6" s="2006"/>
      <c r="C6" s="2010" t="s">
        <v>276</v>
      </c>
      <c r="D6" s="1846">
        <f>'나. 지출예산 총괄표'!H9+'나. 지출예산 총괄표'!H294</f>
        <v>1504331</v>
      </c>
      <c r="E6" s="1846">
        <f>'나. 지출예산 총괄표'!I9+'나. 지출예산 총괄표'!I294</f>
        <v>1727711</v>
      </c>
      <c r="F6" s="322">
        <f t="shared" ref="F6:F37" si="0">D6-E6</f>
        <v>-223380</v>
      </c>
      <c r="G6" s="21"/>
    </row>
    <row r="7" spans="1:7" ht="15.95" customHeight="1">
      <c r="A7" s="2005"/>
      <c r="B7" s="2004"/>
      <c r="C7" s="2010" t="s">
        <v>296</v>
      </c>
      <c r="D7" s="1846">
        <f>'나. 지출예산 총괄표'!H31</f>
        <v>165485</v>
      </c>
      <c r="E7" s="1846">
        <f>'나. 지출예산 총괄표'!I31</f>
        <v>168033</v>
      </c>
      <c r="F7" s="322">
        <f t="shared" si="0"/>
        <v>-2548</v>
      </c>
      <c r="G7" s="21"/>
    </row>
    <row r="8" spans="1:7" ht="15.95" customHeight="1">
      <c r="A8" s="2005"/>
      <c r="B8" s="2004"/>
      <c r="C8" s="2010" t="s">
        <v>299</v>
      </c>
      <c r="D8" s="1846">
        <f>'나. 지출예산 총괄표'!H47+'나. 지출예산 총괄표'!H298</f>
        <v>320319</v>
      </c>
      <c r="E8" s="1846">
        <f>'나. 지출예산 총괄표'!I47+'나. 지출예산 총괄표'!I298</f>
        <v>299424</v>
      </c>
      <c r="F8" s="322">
        <f t="shared" si="0"/>
        <v>20895</v>
      </c>
      <c r="G8" s="21"/>
    </row>
    <row r="9" spans="1:7" ht="15.95" customHeight="1">
      <c r="A9" s="2005"/>
      <c r="B9" s="2004"/>
      <c r="C9" s="2010" t="s">
        <v>303</v>
      </c>
      <c r="D9" s="1846">
        <f>'나. 지출예산 총괄표'!H66+'나. 지출예산 총괄표'!H302</f>
        <v>200000</v>
      </c>
      <c r="E9" s="1846">
        <f>'나. 지출예산 총괄표'!I66+'나. 지출예산 총괄표'!I302</f>
        <v>200000</v>
      </c>
      <c r="F9" s="1846">
        <f t="shared" si="0"/>
        <v>0</v>
      </c>
      <c r="G9" s="21"/>
    </row>
    <row r="10" spans="1:7" ht="15.95" customHeight="1">
      <c r="A10" s="2005"/>
      <c r="B10" s="2004" t="s">
        <v>141</v>
      </c>
      <c r="C10" s="2009" t="s">
        <v>2237</v>
      </c>
      <c r="D10" s="2134">
        <f>D11+D12+D13+D14</f>
        <v>3047594</v>
      </c>
      <c r="E10" s="2134">
        <f>E11+E12+E13+E14</f>
        <v>1998382</v>
      </c>
      <c r="F10" s="2135">
        <f t="shared" si="0"/>
        <v>1049212</v>
      </c>
      <c r="G10" s="21"/>
    </row>
    <row r="11" spans="1:7" ht="15.95" customHeight="1">
      <c r="A11" s="2005"/>
      <c r="B11" s="2006"/>
      <c r="C11" s="2010" t="s">
        <v>306</v>
      </c>
      <c r="D11" s="1846">
        <f>'나. 지출예산 총괄표'!H90+'나. 지출예산 총괄표'!H307</f>
        <v>1221194</v>
      </c>
      <c r="E11" s="1846">
        <f>'나. 지출예산 총괄표'!I90+'나. 지출예산 총괄표'!I307</f>
        <v>1024056</v>
      </c>
      <c r="F11" s="322">
        <f t="shared" si="0"/>
        <v>197138</v>
      </c>
      <c r="G11" s="21"/>
    </row>
    <row r="12" spans="1:7" ht="15.95" customHeight="1">
      <c r="A12" s="2005"/>
      <c r="B12" s="2004"/>
      <c r="C12" s="2010" t="s">
        <v>314</v>
      </c>
      <c r="D12" s="1846">
        <f>'나. 지출예산 총괄표'!H115+'나. 지출예산 총괄표'!H311</f>
        <v>817270</v>
      </c>
      <c r="E12" s="1846">
        <f>'나. 지출예산 총괄표'!I115+'나. 지출예산 총괄표'!I311</f>
        <v>749287</v>
      </c>
      <c r="F12" s="322">
        <f t="shared" si="0"/>
        <v>67983</v>
      </c>
      <c r="G12" s="21"/>
    </row>
    <row r="13" spans="1:7" ht="15.95" customHeight="1">
      <c r="A13" s="2005"/>
      <c r="B13" s="2004"/>
      <c r="C13" s="2010" t="s">
        <v>317</v>
      </c>
      <c r="D13" s="1846">
        <f>'나. 지출예산 총괄표'!H132+'나. 지출예산 총괄표'!H315</f>
        <v>259130</v>
      </c>
      <c r="E13" s="1846">
        <f>'나. 지출예산 총괄표'!I132+'나. 지출예산 총괄표'!I315</f>
        <v>225039</v>
      </c>
      <c r="F13" s="322">
        <f t="shared" si="0"/>
        <v>34091</v>
      </c>
      <c r="G13" s="21"/>
    </row>
    <row r="14" spans="1:7" ht="15.95" customHeight="1">
      <c r="A14" s="2005"/>
      <c r="B14" s="2004"/>
      <c r="C14" s="2010" t="s">
        <v>320</v>
      </c>
      <c r="D14" s="1846">
        <f>'나. 지출예산 총괄표'!H146+'나. 지출예산 총괄표'!H319</f>
        <v>750000</v>
      </c>
      <c r="E14" s="1846">
        <f>'나. 지출예산 총괄표'!I157+'나. 지출예산 총괄표'!I319</f>
        <v>0</v>
      </c>
      <c r="F14" s="322">
        <f t="shared" si="0"/>
        <v>750000</v>
      </c>
      <c r="G14" s="21"/>
    </row>
    <row r="15" spans="1:7" ht="15.95" customHeight="1">
      <c r="A15" s="2005"/>
      <c r="B15" s="2004" t="s">
        <v>142</v>
      </c>
      <c r="C15" s="2009" t="s">
        <v>2237</v>
      </c>
      <c r="D15" s="2134">
        <f>D16+D17+D18</f>
        <v>27890481</v>
      </c>
      <c r="E15" s="2134">
        <f>E16+E17+E18</f>
        <v>26155748</v>
      </c>
      <c r="F15" s="2135">
        <f t="shared" si="0"/>
        <v>1734733</v>
      </c>
      <c r="G15" s="21"/>
    </row>
    <row r="16" spans="1:7" ht="15.95" customHeight="1">
      <c r="A16" s="2005"/>
      <c r="B16" s="2004"/>
      <c r="C16" s="2010" t="s">
        <v>2251</v>
      </c>
      <c r="D16" s="1846">
        <f>'나. 지출예산 총괄표'!H164+'나. 지출예산 총괄표'!H324</f>
        <v>23175444</v>
      </c>
      <c r="E16" s="1846">
        <f>'나. 지출예산 총괄표'!I164+'나. 지출예산 총괄표'!I324</f>
        <v>22246757</v>
      </c>
      <c r="F16" s="322">
        <f t="shared" si="0"/>
        <v>928687</v>
      </c>
      <c r="G16" s="21"/>
    </row>
    <row r="17" spans="1:7" ht="15.95" customHeight="1">
      <c r="A17" s="2005"/>
      <c r="B17" s="2004"/>
      <c r="C17" s="2010" t="s">
        <v>331</v>
      </c>
      <c r="D17" s="1846">
        <f>'나. 지출예산 총괄표'!H194+'나. 지출예산 총괄표'!H331</f>
        <v>105943</v>
      </c>
      <c r="E17" s="1846">
        <f>'나. 지출예산 총괄표'!I194+'나. 지출예산 총괄표'!I331</f>
        <v>100803</v>
      </c>
      <c r="F17" s="322">
        <f t="shared" si="0"/>
        <v>5140</v>
      </c>
      <c r="G17" s="21"/>
    </row>
    <row r="18" spans="1:7" ht="15.95" customHeight="1">
      <c r="A18" s="2005"/>
      <c r="B18" s="2004"/>
      <c r="C18" s="2010" t="s">
        <v>333</v>
      </c>
      <c r="D18" s="1846">
        <f>'나. 지출예산 총괄표'!H209+'나. 지출예산 총괄표'!H335</f>
        <v>4609094</v>
      </c>
      <c r="E18" s="1846">
        <f>'나. 지출예산 총괄표'!I209+'나. 지출예산 총괄표'!I335</f>
        <v>3808188</v>
      </c>
      <c r="F18" s="322">
        <f t="shared" si="0"/>
        <v>800906</v>
      </c>
      <c r="G18" s="21"/>
    </row>
    <row r="19" spans="1:7" ht="15.95" customHeight="1">
      <c r="A19" s="2005"/>
      <c r="B19" s="2004" t="s">
        <v>143</v>
      </c>
      <c r="C19" s="2009" t="s">
        <v>2237</v>
      </c>
      <c r="D19" s="2134">
        <f>D20+D21</f>
        <v>17543386</v>
      </c>
      <c r="E19" s="2134">
        <f>E20+E21</f>
        <v>16162050</v>
      </c>
      <c r="F19" s="2135">
        <f t="shared" si="0"/>
        <v>1381336</v>
      </c>
      <c r="G19" s="21"/>
    </row>
    <row r="20" spans="1:7" ht="15.95" customHeight="1">
      <c r="A20" s="2005"/>
      <c r="B20" s="2004"/>
      <c r="C20" s="2010" t="s">
        <v>338</v>
      </c>
      <c r="D20" s="1846">
        <f>'나. 지출예산 총괄표'!H235+'나. 지출예산 총괄표'!H346</f>
        <v>5368670</v>
      </c>
      <c r="E20" s="1846">
        <f>'나. 지출예산 총괄표'!I235+'나. 지출예산 총괄표'!I346</f>
        <v>5227217</v>
      </c>
      <c r="F20" s="322">
        <f t="shared" si="0"/>
        <v>141453</v>
      </c>
      <c r="G20" s="21"/>
    </row>
    <row r="21" spans="1:7" ht="15.95" customHeight="1">
      <c r="A21" s="2005"/>
      <c r="B21" s="2004"/>
      <c r="C21" s="2010" t="s">
        <v>359</v>
      </c>
      <c r="D21" s="1846">
        <f>'나. 지출예산 총괄표'!H280</f>
        <v>12174716</v>
      </c>
      <c r="E21" s="1846">
        <f>'나. 지출예산 총괄표'!I280</f>
        <v>10934833</v>
      </c>
      <c r="F21" s="322">
        <f t="shared" si="0"/>
        <v>1239883</v>
      </c>
      <c r="G21" s="21"/>
    </row>
    <row r="22" spans="1:7" ht="15.95" customHeight="1">
      <c r="A22" s="2007"/>
      <c r="B22" s="2465" t="s">
        <v>2252</v>
      </c>
      <c r="C22" s="2466"/>
      <c r="D22" s="1846">
        <v>0</v>
      </c>
      <c r="E22" s="1846">
        <v>0</v>
      </c>
      <c r="F22" s="1846">
        <f t="shared" si="0"/>
        <v>0</v>
      </c>
      <c r="G22" s="21"/>
    </row>
    <row r="23" spans="1:7" ht="15.95" customHeight="1">
      <c r="A23" s="2007"/>
      <c r="B23" s="2465" t="s">
        <v>144</v>
      </c>
      <c r="C23" s="2466"/>
      <c r="D23" s="1846">
        <f>D24</f>
        <v>0</v>
      </c>
      <c r="E23" s="1846">
        <f>E24</f>
        <v>0</v>
      </c>
      <c r="F23" s="1846">
        <f t="shared" si="0"/>
        <v>0</v>
      </c>
      <c r="G23" s="21"/>
    </row>
    <row r="24" spans="1:7" ht="15.95" customHeight="1">
      <c r="A24" s="711"/>
      <c r="B24" s="2004"/>
      <c r="C24" s="2011" t="s">
        <v>144</v>
      </c>
      <c r="D24" s="1846">
        <v>0</v>
      </c>
      <c r="E24" s="1846">
        <v>0</v>
      </c>
      <c r="F24" s="1846">
        <f t="shared" si="0"/>
        <v>0</v>
      </c>
      <c r="G24" s="21"/>
    </row>
    <row r="25" spans="1:7" ht="15.95" customHeight="1">
      <c r="A25" s="2007"/>
      <c r="B25" s="2465" t="s">
        <v>2253</v>
      </c>
      <c r="C25" s="2466"/>
      <c r="D25" s="1846">
        <f>D26</f>
        <v>0</v>
      </c>
      <c r="E25" s="1846">
        <f>E26</f>
        <v>0</v>
      </c>
      <c r="F25" s="1846">
        <f t="shared" si="0"/>
        <v>0</v>
      </c>
      <c r="G25" s="21"/>
    </row>
    <row r="26" spans="1:7" ht="15.95" customHeight="1">
      <c r="A26" s="711"/>
      <c r="B26" s="2004"/>
      <c r="C26" s="2011" t="s">
        <v>209</v>
      </c>
      <c r="D26" s="1846">
        <v>0</v>
      </c>
      <c r="E26" s="1846">
        <v>0</v>
      </c>
      <c r="F26" s="1846">
        <f t="shared" si="0"/>
        <v>0</v>
      </c>
      <c r="G26" s="21"/>
    </row>
    <row r="27" spans="1:7" ht="15.95" customHeight="1">
      <c r="A27" s="2007"/>
      <c r="B27" s="2465" t="s">
        <v>157</v>
      </c>
      <c r="C27" s="2466"/>
      <c r="D27" s="1846">
        <f>D28</f>
        <v>0</v>
      </c>
      <c r="E27" s="1846">
        <f>E28</f>
        <v>0</v>
      </c>
      <c r="F27" s="1846">
        <f t="shared" si="0"/>
        <v>0</v>
      </c>
      <c r="G27" s="21"/>
    </row>
    <row r="28" spans="1:7" ht="15.95" customHeight="1">
      <c r="A28" s="711"/>
      <c r="B28" s="2004"/>
      <c r="C28" s="2011" t="s">
        <v>2254</v>
      </c>
      <c r="D28" s="1846">
        <v>0</v>
      </c>
      <c r="E28" s="1846">
        <v>0</v>
      </c>
      <c r="F28" s="1846">
        <f t="shared" si="0"/>
        <v>0</v>
      </c>
      <c r="G28" s="21"/>
    </row>
    <row r="29" spans="1:7" ht="15.95" customHeight="1">
      <c r="A29" s="711"/>
      <c r="B29" s="2004"/>
      <c r="C29" s="2011" t="s">
        <v>212</v>
      </c>
      <c r="D29" s="1846">
        <v>0</v>
      </c>
      <c r="E29" s="1846">
        <v>0</v>
      </c>
      <c r="F29" s="1846">
        <f t="shared" si="0"/>
        <v>0</v>
      </c>
      <c r="G29" s="21"/>
    </row>
    <row r="30" spans="1:7" ht="15.95" customHeight="1">
      <c r="A30" s="2007"/>
      <c r="B30" s="2465" t="s">
        <v>158</v>
      </c>
      <c r="C30" s="2466"/>
      <c r="D30" s="1846">
        <f>D31</f>
        <v>0</v>
      </c>
      <c r="E30" s="1846">
        <f>E31</f>
        <v>0</v>
      </c>
      <c r="F30" s="1846">
        <f t="shared" si="0"/>
        <v>0</v>
      </c>
      <c r="G30" s="21"/>
    </row>
    <row r="31" spans="1:7" ht="15.95" customHeight="1">
      <c r="A31" s="711"/>
      <c r="B31" s="2004"/>
      <c r="C31" s="2011" t="s">
        <v>158</v>
      </c>
      <c r="D31" s="1846">
        <v>0</v>
      </c>
      <c r="E31" s="1846">
        <v>0</v>
      </c>
      <c r="F31" s="1846">
        <f t="shared" si="0"/>
        <v>0</v>
      </c>
      <c r="G31" s="21"/>
    </row>
    <row r="32" spans="1:7" ht="15.95" customHeight="1">
      <c r="A32" s="711"/>
      <c r="B32" s="2465" t="s">
        <v>156</v>
      </c>
      <c r="C32" s="2466"/>
      <c r="D32" s="1846">
        <f>D33</f>
        <v>0</v>
      </c>
      <c r="E32" s="1846">
        <f>E33</f>
        <v>0</v>
      </c>
      <c r="F32" s="1846">
        <f t="shared" si="0"/>
        <v>0</v>
      </c>
      <c r="G32" s="21"/>
    </row>
    <row r="33" spans="1:7" ht="15.95" customHeight="1">
      <c r="A33" s="711"/>
      <c r="B33" s="2004"/>
      <c r="C33" s="2011" t="s">
        <v>156</v>
      </c>
      <c r="D33" s="1846">
        <v>0</v>
      </c>
      <c r="E33" s="1846">
        <v>0</v>
      </c>
      <c r="F33" s="1846">
        <f t="shared" si="0"/>
        <v>0</v>
      </c>
      <c r="G33" s="21"/>
    </row>
    <row r="34" spans="1:7" ht="15.95" customHeight="1">
      <c r="A34" s="2007"/>
      <c r="B34" s="2465" t="s">
        <v>145</v>
      </c>
      <c r="C34" s="2466"/>
      <c r="D34" s="2134">
        <f>D35</f>
        <v>500000</v>
      </c>
      <c r="E34" s="2134">
        <f>E35</f>
        <v>500000</v>
      </c>
      <c r="F34" s="1846">
        <f t="shared" si="0"/>
        <v>0</v>
      </c>
      <c r="G34" s="21"/>
    </row>
    <row r="35" spans="1:7" ht="15.95" customHeight="1">
      <c r="A35" s="711"/>
      <c r="B35" s="2004"/>
      <c r="C35" s="2011" t="s">
        <v>2255</v>
      </c>
      <c r="D35" s="1846">
        <f>'나. 지출예산 총괄표'!H350</f>
        <v>500000</v>
      </c>
      <c r="E35" s="1846">
        <f>'나. 지출예산 총괄표'!I350</f>
        <v>500000</v>
      </c>
      <c r="F35" s="1846">
        <f t="shared" si="0"/>
        <v>0</v>
      </c>
      <c r="G35" s="21"/>
    </row>
    <row r="36" spans="1:7" ht="15.95" customHeight="1">
      <c r="A36" s="2007"/>
      <c r="B36" s="2465" t="s">
        <v>2243</v>
      </c>
      <c r="C36" s="2466"/>
      <c r="D36" s="1846">
        <f>D37</f>
        <v>0</v>
      </c>
      <c r="E36" s="1846">
        <f>E37</f>
        <v>0</v>
      </c>
      <c r="F36" s="1846">
        <f t="shared" si="0"/>
        <v>0</v>
      </c>
      <c r="G36" s="21"/>
    </row>
    <row r="37" spans="1:7" ht="15.95" customHeight="1" thickBot="1">
      <c r="A37" s="844"/>
      <c r="B37" s="2008"/>
      <c r="C37" s="2012" t="s">
        <v>2256</v>
      </c>
      <c r="D37" s="2018">
        <v>0</v>
      </c>
      <c r="E37" s="2018">
        <v>0</v>
      </c>
      <c r="F37" s="2018">
        <f t="shared" si="0"/>
        <v>0</v>
      </c>
      <c r="G37" s="22"/>
    </row>
    <row r="38" spans="1:7">
      <c r="F38" s="321"/>
    </row>
  </sheetData>
  <mergeCells count="12">
    <mergeCell ref="B36:C36"/>
    <mergeCell ref="A1:C1"/>
    <mergeCell ref="A2:C2"/>
    <mergeCell ref="A3:C3"/>
    <mergeCell ref="B4:C4"/>
    <mergeCell ref="B22:C22"/>
    <mergeCell ref="B23:C23"/>
    <mergeCell ref="B25:C25"/>
    <mergeCell ref="B27:C27"/>
    <mergeCell ref="B30:C30"/>
    <mergeCell ref="B32:C32"/>
    <mergeCell ref="B34:C34"/>
  </mergeCells>
  <phoneticPr fontId="3" type="noConversion"/>
  <pageMargins left="0.94488188976377951" right="0.78740157480314965" top="0.6692913385826772" bottom="0.98425196850393704" header="0.51181102362204722" footer="0.51181102362204722"/>
  <pageSetup paperSize="9" scale="72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E88AF-29F8-4E6A-AE6D-FD5D7AD331CC}">
  <dimension ref="A1:L24"/>
  <sheetViews>
    <sheetView zoomScale="60" zoomScaleNormal="60" zoomScaleSheetLayoutView="85" workbookViewId="0">
      <pane ySplit="6" topLeftCell="A9" activePane="bottomLeft" state="frozen"/>
      <selection activeCell="D20" sqref="D20"/>
      <selection pane="bottomLeft" activeCell="K24" sqref="K24"/>
    </sheetView>
  </sheetViews>
  <sheetFormatPr defaultRowHeight="14.25"/>
  <cols>
    <col min="1" max="1" width="4.625" style="2173" customWidth="1"/>
    <col min="2" max="2" width="4.375" style="2173" customWidth="1"/>
    <col min="3" max="3" width="5.25" style="2173" customWidth="1"/>
    <col min="4" max="4" width="39.75" style="2173" customWidth="1"/>
    <col min="5" max="5" width="36.25" style="2226" customWidth="1"/>
    <col min="6" max="6" width="15.875" style="2173" customWidth="1"/>
    <col min="7" max="7" width="15.25" style="2173" customWidth="1"/>
    <col min="8" max="8" width="14.625" style="2173" customWidth="1"/>
    <col min="9" max="11" width="14.875" style="2173" bestFit="1" customWidth="1"/>
    <col min="12" max="12" width="64.25" style="2226" customWidth="1"/>
    <col min="13" max="13" width="5.375" style="2173" customWidth="1"/>
    <col min="14" max="256" width="9" style="2173"/>
    <col min="257" max="257" width="4.625" style="2173" customWidth="1"/>
    <col min="258" max="258" width="4.375" style="2173" customWidth="1"/>
    <col min="259" max="259" width="5.25" style="2173" customWidth="1"/>
    <col min="260" max="260" width="39.75" style="2173" customWidth="1"/>
    <col min="261" max="261" width="36.25" style="2173" customWidth="1"/>
    <col min="262" max="262" width="15.875" style="2173" customWidth="1"/>
    <col min="263" max="263" width="15.25" style="2173" customWidth="1"/>
    <col min="264" max="264" width="14.625" style="2173" customWidth="1"/>
    <col min="265" max="267" width="14.875" style="2173" bestFit="1" customWidth="1"/>
    <col min="268" max="268" width="64.25" style="2173" customWidth="1"/>
    <col min="269" max="269" width="5.375" style="2173" customWidth="1"/>
    <col min="270" max="512" width="9" style="2173"/>
    <col min="513" max="513" width="4.625" style="2173" customWidth="1"/>
    <col min="514" max="514" width="4.375" style="2173" customWidth="1"/>
    <col min="515" max="515" width="5.25" style="2173" customWidth="1"/>
    <col min="516" max="516" width="39.75" style="2173" customWidth="1"/>
    <col min="517" max="517" width="36.25" style="2173" customWidth="1"/>
    <col min="518" max="518" width="15.875" style="2173" customWidth="1"/>
    <col min="519" max="519" width="15.25" style="2173" customWidth="1"/>
    <col min="520" max="520" width="14.625" style="2173" customWidth="1"/>
    <col min="521" max="523" width="14.875" style="2173" bestFit="1" customWidth="1"/>
    <col min="524" max="524" width="64.25" style="2173" customWidth="1"/>
    <col min="525" max="525" width="5.375" style="2173" customWidth="1"/>
    <col min="526" max="768" width="9" style="2173"/>
    <col min="769" max="769" width="4.625" style="2173" customWidth="1"/>
    <col min="770" max="770" width="4.375" style="2173" customWidth="1"/>
    <col min="771" max="771" width="5.25" style="2173" customWidth="1"/>
    <col min="772" max="772" width="39.75" style="2173" customWidth="1"/>
    <col min="773" max="773" width="36.25" style="2173" customWidth="1"/>
    <col min="774" max="774" width="15.875" style="2173" customWidth="1"/>
    <col min="775" max="775" width="15.25" style="2173" customWidth="1"/>
    <col min="776" max="776" width="14.625" style="2173" customWidth="1"/>
    <col min="777" max="779" width="14.875" style="2173" bestFit="1" customWidth="1"/>
    <col min="780" max="780" width="64.25" style="2173" customWidth="1"/>
    <col min="781" max="781" width="5.375" style="2173" customWidth="1"/>
    <col min="782" max="1024" width="9" style="2173"/>
    <col min="1025" max="1025" width="4.625" style="2173" customWidth="1"/>
    <col min="1026" max="1026" width="4.375" style="2173" customWidth="1"/>
    <col min="1027" max="1027" width="5.25" style="2173" customWidth="1"/>
    <col min="1028" max="1028" width="39.75" style="2173" customWidth="1"/>
    <col min="1029" max="1029" width="36.25" style="2173" customWidth="1"/>
    <col min="1030" max="1030" width="15.875" style="2173" customWidth="1"/>
    <col min="1031" max="1031" width="15.25" style="2173" customWidth="1"/>
    <col min="1032" max="1032" width="14.625" style="2173" customWidth="1"/>
    <col min="1033" max="1035" width="14.875" style="2173" bestFit="1" customWidth="1"/>
    <col min="1036" max="1036" width="64.25" style="2173" customWidth="1"/>
    <col min="1037" max="1037" width="5.375" style="2173" customWidth="1"/>
    <col min="1038" max="1280" width="9" style="2173"/>
    <col min="1281" max="1281" width="4.625" style="2173" customWidth="1"/>
    <col min="1282" max="1282" width="4.375" style="2173" customWidth="1"/>
    <col min="1283" max="1283" width="5.25" style="2173" customWidth="1"/>
    <col min="1284" max="1284" width="39.75" style="2173" customWidth="1"/>
    <col min="1285" max="1285" width="36.25" style="2173" customWidth="1"/>
    <col min="1286" max="1286" width="15.875" style="2173" customWidth="1"/>
    <col min="1287" max="1287" width="15.25" style="2173" customWidth="1"/>
    <col min="1288" max="1288" width="14.625" style="2173" customWidth="1"/>
    <col min="1289" max="1291" width="14.875" style="2173" bestFit="1" customWidth="1"/>
    <col min="1292" max="1292" width="64.25" style="2173" customWidth="1"/>
    <col min="1293" max="1293" width="5.375" style="2173" customWidth="1"/>
    <col min="1294" max="1536" width="9" style="2173"/>
    <col min="1537" max="1537" width="4.625" style="2173" customWidth="1"/>
    <col min="1538" max="1538" width="4.375" style="2173" customWidth="1"/>
    <col min="1539" max="1539" width="5.25" style="2173" customWidth="1"/>
    <col min="1540" max="1540" width="39.75" style="2173" customWidth="1"/>
    <col min="1541" max="1541" width="36.25" style="2173" customWidth="1"/>
    <col min="1542" max="1542" width="15.875" style="2173" customWidth="1"/>
    <col min="1543" max="1543" width="15.25" style="2173" customWidth="1"/>
    <col min="1544" max="1544" width="14.625" style="2173" customWidth="1"/>
    <col min="1545" max="1547" width="14.875" style="2173" bestFit="1" customWidth="1"/>
    <col min="1548" max="1548" width="64.25" style="2173" customWidth="1"/>
    <col min="1549" max="1549" width="5.375" style="2173" customWidth="1"/>
    <col min="1550" max="1792" width="9" style="2173"/>
    <col min="1793" max="1793" width="4.625" style="2173" customWidth="1"/>
    <col min="1794" max="1794" width="4.375" style="2173" customWidth="1"/>
    <col min="1795" max="1795" width="5.25" style="2173" customWidth="1"/>
    <col min="1796" max="1796" width="39.75" style="2173" customWidth="1"/>
    <col min="1797" max="1797" width="36.25" style="2173" customWidth="1"/>
    <col min="1798" max="1798" width="15.875" style="2173" customWidth="1"/>
    <col min="1799" max="1799" width="15.25" style="2173" customWidth="1"/>
    <col min="1800" max="1800" width="14.625" style="2173" customWidth="1"/>
    <col min="1801" max="1803" width="14.875" style="2173" bestFit="1" customWidth="1"/>
    <col min="1804" max="1804" width="64.25" style="2173" customWidth="1"/>
    <col min="1805" max="1805" width="5.375" style="2173" customWidth="1"/>
    <col min="1806" max="2048" width="9" style="2173"/>
    <col min="2049" max="2049" width="4.625" style="2173" customWidth="1"/>
    <col min="2050" max="2050" width="4.375" style="2173" customWidth="1"/>
    <col min="2051" max="2051" width="5.25" style="2173" customWidth="1"/>
    <col min="2052" max="2052" width="39.75" style="2173" customWidth="1"/>
    <col min="2053" max="2053" width="36.25" style="2173" customWidth="1"/>
    <col min="2054" max="2054" width="15.875" style="2173" customWidth="1"/>
    <col min="2055" max="2055" width="15.25" style="2173" customWidth="1"/>
    <col min="2056" max="2056" width="14.625" style="2173" customWidth="1"/>
    <col min="2057" max="2059" width="14.875" style="2173" bestFit="1" customWidth="1"/>
    <col min="2060" max="2060" width="64.25" style="2173" customWidth="1"/>
    <col min="2061" max="2061" width="5.375" style="2173" customWidth="1"/>
    <col min="2062" max="2304" width="9" style="2173"/>
    <col min="2305" max="2305" width="4.625" style="2173" customWidth="1"/>
    <col min="2306" max="2306" width="4.375" style="2173" customWidth="1"/>
    <col min="2307" max="2307" width="5.25" style="2173" customWidth="1"/>
    <col min="2308" max="2308" width="39.75" style="2173" customWidth="1"/>
    <col min="2309" max="2309" width="36.25" style="2173" customWidth="1"/>
    <col min="2310" max="2310" width="15.875" style="2173" customWidth="1"/>
    <col min="2311" max="2311" width="15.25" style="2173" customWidth="1"/>
    <col min="2312" max="2312" width="14.625" style="2173" customWidth="1"/>
    <col min="2313" max="2315" width="14.875" style="2173" bestFit="1" customWidth="1"/>
    <col min="2316" max="2316" width="64.25" style="2173" customWidth="1"/>
    <col min="2317" max="2317" width="5.375" style="2173" customWidth="1"/>
    <col min="2318" max="2560" width="9" style="2173"/>
    <col min="2561" max="2561" width="4.625" style="2173" customWidth="1"/>
    <col min="2562" max="2562" width="4.375" style="2173" customWidth="1"/>
    <col min="2563" max="2563" width="5.25" style="2173" customWidth="1"/>
    <col min="2564" max="2564" width="39.75" style="2173" customWidth="1"/>
    <col min="2565" max="2565" width="36.25" style="2173" customWidth="1"/>
    <col min="2566" max="2566" width="15.875" style="2173" customWidth="1"/>
    <col min="2567" max="2567" width="15.25" style="2173" customWidth="1"/>
    <col min="2568" max="2568" width="14.625" style="2173" customWidth="1"/>
    <col min="2569" max="2571" width="14.875" style="2173" bestFit="1" customWidth="1"/>
    <col min="2572" max="2572" width="64.25" style="2173" customWidth="1"/>
    <col min="2573" max="2573" width="5.375" style="2173" customWidth="1"/>
    <col min="2574" max="2816" width="9" style="2173"/>
    <col min="2817" max="2817" width="4.625" style="2173" customWidth="1"/>
    <col min="2818" max="2818" width="4.375" style="2173" customWidth="1"/>
    <col min="2819" max="2819" width="5.25" style="2173" customWidth="1"/>
    <col min="2820" max="2820" width="39.75" style="2173" customWidth="1"/>
    <col min="2821" max="2821" width="36.25" style="2173" customWidth="1"/>
    <col min="2822" max="2822" width="15.875" style="2173" customWidth="1"/>
    <col min="2823" max="2823" width="15.25" style="2173" customWidth="1"/>
    <col min="2824" max="2824" width="14.625" style="2173" customWidth="1"/>
    <col min="2825" max="2827" width="14.875" style="2173" bestFit="1" customWidth="1"/>
    <col min="2828" max="2828" width="64.25" style="2173" customWidth="1"/>
    <col min="2829" max="2829" width="5.375" style="2173" customWidth="1"/>
    <col min="2830" max="3072" width="9" style="2173"/>
    <col min="3073" max="3073" width="4.625" style="2173" customWidth="1"/>
    <col min="3074" max="3074" width="4.375" style="2173" customWidth="1"/>
    <col min="3075" max="3075" width="5.25" style="2173" customWidth="1"/>
    <col min="3076" max="3076" width="39.75" style="2173" customWidth="1"/>
    <col min="3077" max="3077" width="36.25" style="2173" customWidth="1"/>
    <col min="3078" max="3078" width="15.875" style="2173" customWidth="1"/>
    <col min="3079" max="3079" width="15.25" style="2173" customWidth="1"/>
    <col min="3080" max="3080" width="14.625" style="2173" customWidth="1"/>
    <col min="3081" max="3083" width="14.875" style="2173" bestFit="1" customWidth="1"/>
    <col min="3084" max="3084" width="64.25" style="2173" customWidth="1"/>
    <col min="3085" max="3085" width="5.375" style="2173" customWidth="1"/>
    <col min="3086" max="3328" width="9" style="2173"/>
    <col min="3329" max="3329" width="4.625" style="2173" customWidth="1"/>
    <col min="3330" max="3330" width="4.375" style="2173" customWidth="1"/>
    <col min="3331" max="3331" width="5.25" style="2173" customWidth="1"/>
    <col min="3332" max="3332" width="39.75" style="2173" customWidth="1"/>
    <col min="3333" max="3333" width="36.25" style="2173" customWidth="1"/>
    <col min="3334" max="3334" width="15.875" style="2173" customWidth="1"/>
    <col min="3335" max="3335" width="15.25" style="2173" customWidth="1"/>
    <col min="3336" max="3336" width="14.625" style="2173" customWidth="1"/>
    <col min="3337" max="3339" width="14.875" style="2173" bestFit="1" customWidth="1"/>
    <col min="3340" max="3340" width="64.25" style="2173" customWidth="1"/>
    <col min="3341" max="3341" width="5.375" style="2173" customWidth="1"/>
    <col min="3342" max="3584" width="9" style="2173"/>
    <col min="3585" max="3585" width="4.625" style="2173" customWidth="1"/>
    <col min="3586" max="3586" width="4.375" style="2173" customWidth="1"/>
    <col min="3587" max="3587" width="5.25" style="2173" customWidth="1"/>
    <col min="3588" max="3588" width="39.75" style="2173" customWidth="1"/>
    <col min="3589" max="3589" width="36.25" style="2173" customWidth="1"/>
    <col min="3590" max="3590" width="15.875" style="2173" customWidth="1"/>
    <col min="3591" max="3591" width="15.25" style="2173" customWidth="1"/>
    <col min="3592" max="3592" width="14.625" style="2173" customWidth="1"/>
    <col min="3593" max="3595" width="14.875" style="2173" bestFit="1" customWidth="1"/>
    <col min="3596" max="3596" width="64.25" style="2173" customWidth="1"/>
    <col min="3597" max="3597" width="5.375" style="2173" customWidth="1"/>
    <col min="3598" max="3840" width="9" style="2173"/>
    <col min="3841" max="3841" width="4.625" style="2173" customWidth="1"/>
    <col min="3842" max="3842" width="4.375" style="2173" customWidth="1"/>
    <col min="3843" max="3843" width="5.25" style="2173" customWidth="1"/>
    <col min="3844" max="3844" width="39.75" style="2173" customWidth="1"/>
    <col min="3845" max="3845" width="36.25" style="2173" customWidth="1"/>
    <col min="3846" max="3846" width="15.875" style="2173" customWidth="1"/>
    <col min="3847" max="3847" width="15.25" style="2173" customWidth="1"/>
    <col min="3848" max="3848" width="14.625" style="2173" customWidth="1"/>
    <col min="3849" max="3851" width="14.875" style="2173" bestFit="1" customWidth="1"/>
    <col min="3852" max="3852" width="64.25" style="2173" customWidth="1"/>
    <col min="3853" max="3853" width="5.375" style="2173" customWidth="1"/>
    <col min="3854" max="4096" width="9" style="2173"/>
    <col min="4097" max="4097" width="4.625" style="2173" customWidth="1"/>
    <col min="4098" max="4098" width="4.375" style="2173" customWidth="1"/>
    <col min="4099" max="4099" width="5.25" style="2173" customWidth="1"/>
    <col min="4100" max="4100" width="39.75" style="2173" customWidth="1"/>
    <col min="4101" max="4101" width="36.25" style="2173" customWidth="1"/>
    <col min="4102" max="4102" width="15.875" style="2173" customWidth="1"/>
    <col min="4103" max="4103" width="15.25" style="2173" customWidth="1"/>
    <col min="4104" max="4104" width="14.625" style="2173" customWidth="1"/>
    <col min="4105" max="4107" width="14.875" style="2173" bestFit="1" customWidth="1"/>
    <col min="4108" max="4108" width="64.25" style="2173" customWidth="1"/>
    <col min="4109" max="4109" width="5.375" style="2173" customWidth="1"/>
    <col min="4110" max="4352" width="9" style="2173"/>
    <col min="4353" max="4353" width="4.625" style="2173" customWidth="1"/>
    <col min="4354" max="4354" width="4.375" style="2173" customWidth="1"/>
    <col min="4355" max="4355" width="5.25" style="2173" customWidth="1"/>
    <col min="4356" max="4356" width="39.75" style="2173" customWidth="1"/>
    <col min="4357" max="4357" width="36.25" style="2173" customWidth="1"/>
    <col min="4358" max="4358" width="15.875" style="2173" customWidth="1"/>
    <col min="4359" max="4359" width="15.25" style="2173" customWidth="1"/>
    <col min="4360" max="4360" width="14.625" style="2173" customWidth="1"/>
    <col min="4361" max="4363" width="14.875" style="2173" bestFit="1" customWidth="1"/>
    <col min="4364" max="4364" width="64.25" style="2173" customWidth="1"/>
    <col min="4365" max="4365" width="5.375" style="2173" customWidth="1"/>
    <col min="4366" max="4608" width="9" style="2173"/>
    <col min="4609" max="4609" width="4.625" style="2173" customWidth="1"/>
    <col min="4610" max="4610" width="4.375" style="2173" customWidth="1"/>
    <col min="4611" max="4611" width="5.25" style="2173" customWidth="1"/>
    <col min="4612" max="4612" width="39.75" style="2173" customWidth="1"/>
    <col min="4613" max="4613" width="36.25" style="2173" customWidth="1"/>
    <col min="4614" max="4614" width="15.875" style="2173" customWidth="1"/>
    <col min="4615" max="4615" width="15.25" style="2173" customWidth="1"/>
    <col min="4616" max="4616" width="14.625" style="2173" customWidth="1"/>
    <col min="4617" max="4619" width="14.875" style="2173" bestFit="1" customWidth="1"/>
    <col min="4620" max="4620" width="64.25" style="2173" customWidth="1"/>
    <col min="4621" max="4621" width="5.375" style="2173" customWidth="1"/>
    <col min="4622" max="4864" width="9" style="2173"/>
    <col min="4865" max="4865" width="4.625" style="2173" customWidth="1"/>
    <col min="4866" max="4866" width="4.375" style="2173" customWidth="1"/>
    <col min="4867" max="4867" width="5.25" style="2173" customWidth="1"/>
    <col min="4868" max="4868" width="39.75" style="2173" customWidth="1"/>
    <col min="4869" max="4869" width="36.25" style="2173" customWidth="1"/>
    <col min="4870" max="4870" width="15.875" style="2173" customWidth="1"/>
    <col min="4871" max="4871" width="15.25" style="2173" customWidth="1"/>
    <col min="4872" max="4872" width="14.625" style="2173" customWidth="1"/>
    <col min="4873" max="4875" width="14.875" style="2173" bestFit="1" customWidth="1"/>
    <col min="4876" max="4876" width="64.25" style="2173" customWidth="1"/>
    <col min="4877" max="4877" width="5.375" style="2173" customWidth="1"/>
    <col min="4878" max="5120" width="9" style="2173"/>
    <col min="5121" max="5121" width="4.625" style="2173" customWidth="1"/>
    <col min="5122" max="5122" width="4.375" style="2173" customWidth="1"/>
    <col min="5123" max="5123" width="5.25" style="2173" customWidth="1"/>
    <col min="5124" max="5124" width="39.75" style="2173" customWidth="1"/>
    <col min="5125" max="5125" width="36.25" style="2173" customWidth="1"/>
    <col min="5126" max="5126" width="15.875" style="2173" customWidth="1"/>
    <col min="5127" max="5127" width="15.25" style="2173" customWidth="1"/>
    <col min="5128" max="5128" width="14.625" style="2173" customWidth="1"/>
    <col min="5129" max="5131" width="14.875" style="2173" bestFit="1" customWidth="1"/>
    <col min="5132" max="5132" width="64.25" style="2173" customWidth="1"/>
    <col min="5133" max="5133" width="5.375" style="2173" customWidth="1"/>
    <col min="5134" max="5376" width="9" style="2173"/>
    <col min="5377" max="5377" width="4.625" style="2173" customWidth="1"/>
    <col min="5378" max="5378" width="4.375" style="2173" customWidth="1"/>
    <col min="5379" max="5379" width="5.25" style="2173" customWidth="1"/>
    <col min="5380" max="5380" width="39.75" style="2173" customWidth="1"/>
    <col min="5381" max="5381" width="36.25" style="2173" customWidth="1"/>
    <col min="5382" max="5382" width="15.875" style="2173" customWidth="1"/>
    <col min="5383" max="5383" width="15.25" style="2173" customWidth="1"/>
    <col min="5384" max="5384" width="14.625" style="2173" customWidth="1"/>
    <col min="5385" max="5387" width="14.875" style="2173" bestFit="1" customWidth="1"/>
    <col min="5388" max="5388" width="64.25" style="2173" customWidth="1"/>
    <col min="5389" max="5389" width="5.375" style="2173" customWidth="1"/>
    <col min="5390" max="5632" width="9" style="2173"/>
    <col min="5633" max="5633" width="4.625" style="2173" customWidth="1"/>
    <col min="5634" max="5634" width="4.375" style="2173" customWidth="1"/>
    <col min="5635" max="5635" width="5.25" style="2173" customWidth="1"/>
    <col min="5636" max="5636" width="39.75" style="2173" customWidth="1"/>
    <col min="5637" max="5637" width="36.25" style="2173" customWidth="1"/>
    <col min="5638" max="5638" width="15.875" style="2173" customWidth="1"/>
    <col min="5639" max="5639" width="15.25" style="2173" customWidth="1"/>
    <col min="5640" max="5640" width="14.625" style="2173" customWidth="1"/>
    <col min="5641" max="5643" width="14.875" style="2173" bestFit="1" customWidth="1"/>
    <col min="5644" max="5644" width="64.25" style="2173" customWidth="1"/>
    <col min="5645" max="5645" width="5.375" style="2173" customWidth="1"/>
    <col min="5646" max="5888" width="9" style="2173"/>
    <col min="5889" max="5889" width="4.625" style="2173" customWidth="1"/>
    <col min="5890" max="5890" width="4.375" style="2173" customWidth="1"/>
    <col min="5891" max="5891" width="5.25" style="2173" customWidth="1"/>
    <col min="5892" max="5892" width="39.75" style="2173" customWidth="1"/>
    <col min="5893" max="5893" width="36.25" style="2173" customWidth="1"/>
    <col min="5894" max="5894" width="15.875" style="2173" customWidth="1"/>
    <col min="5895" max="5895" width="15.25" style="2173" customWidth="1"/>
    <col min="5896" max="5896" width="14.625" style="2173" customWidth="1"/>
    <col min="5897" max="5899" width="14.875" style="2173" bestFit="1" customWidth="1"/>
    <col min="5900" max="5900" width="64.25" style="2173" customWidth="1"/>
    <col min="5901" max="5901" width="5.375" style="2173" customWidth="1"/>
    <col min="5902" max="6144" width="9" style="2173"/>
    <col min="6145" max="6145" width="4.625" style="2173" customWidth="1"/>
    <col min="6146" max="6146" width="4.375" style="2173" customWidth="1"/>
    <col min="6147" max="6147" width="5.25" style="2173" customWidth="1"/>
    <col min="6148" max="6148" width="39.75" style="2173" customWidth="1"/>
    <col min="6149" max="6149" width="36.25" style="2173" customWidth="1"/>
    <col min="6150" max="6150" width="15.875" style="2173" customWidth="1"/>
    <col min="6151" max="6151" width="15.25" style="2173" customWidth="1"/>
    <col min="6152" max="6152" width="14.625" style="2173" customWidth="1"/>
    <col min="6153" max="6155" width="14.875" style="2173" bestFit="1" customWidth="1"/>
    <col min="6156" max="6156" width="64.25" style="2173" customWidth="1"/>
    <col min="6157" max="6157" width="5.375" style="2173" customWidth="1"/>
    <col min="6158" max="6400" width="9" style="2173"/>
    <col min="6401" max="6401" width="4.625" style="2173" customWidth="1"/>
    <col min="6402" max="6402" width="4.375" style="2173" customWidth="1"/>
    <col min="6403" max="6403" width="5.25" style="2173" customWidth="1"/>
    <col min="6404" max="6404" width="39.75" style="2173" customWidth="1"/>
    <col min="6405" max="6405" width="36.25" style="2173" customWidth="1"/>
    <col min="6406" max="6406" width="15.875" style="2173" customWidth="1"/>
    <col min="6407" max="6407" width="15.25" style="2173" customWidth="1"/>
    <col min="6408" max="6408" width="14.625" style="2173" customWidth="1"/>
    <col min="6409" max="6411" width="14.875" style="2173" bestFit="1" customWidth="1"/>
    <col min="6412" max="6412" width="64.25" style="2173" customWidth="1"/>
    <col min="6413" max="6413" width="5.375" style="2173" customWidth="1"/>
    <col min="6414" max="6656" width="9" style="2173"/>
    <col min="6657" max="6657" width="4.625" style="2173" customWidth="1"/>
    <col min="6658" max="6658" width="4.375" style="2173" customWidth="1"/>
    <col min="6659" max="6659" width="5.25" style="2173" customWidth="1"/>
    <col min="6660" max="6660" width="39.75" style="2173" customWidth="1"/>
    <col min="6661" max="6661" width="36.25" style="2173" customWidth="1"/>
    <col min="6662" max="6662" width="15.875" style="2173" customWidth="1"/>
    <col min="6663" max="6663" width="15.25" style="2173" customWidth="1"/>
    <col min="6664" max="6664" width="14.625" style="2173" customWidth="1"/>
    <col min="6665" max="6667" width="14.875" style="2173" bestFit="1" customWidth="1"/>
    <col min="6668" max="6668" width="64.25" style="2173" customWidth="1"/>
    <col min="6669" max="6669" width="5.375" style="2173" customWidth="1"/>
    <col min="6670" max="6912" width="9" style="2173"/>
    <col min="6913" max="6913" width="4.625" style="2173" customWidth="1"/>
    <col min="6914" max="6914" width="4.375" style="2173" customWidth="1"/>
    <col min="6915" max="6915" width="5.25" style="2173" customWidth="1"/>
    <col min="6916" max="6916" width="39.75" style="2173" customWidth="1"/>
    <col min="6917" max="6917" width="36.25" style="2173" customWidth="1"/>
    <col min="6918" max="6918" width="15.875" style="2173" customWidth="1"/>
    <col min="6919" max="6919" width="15.25" style="2173" customWidth="1"/>
    <col min="6920" max="6920" width="14.625" style="2173" customWidth="1"/>
    <col min="6921" max="6923" width="14.875" style="2173" bestFit="1" customWidth="1"/>
    <col min="6924" max="6924" width="64.25" style="2173" customWidth="1"/>
    <col min="6925" max="6925" width="5.375" style="2173" customWidth="1"/>
    <col min="6926" max="7168" width="9" style="2173"/>
    <col min="7169" max="7169" width="4.625" style="2173" customWidth="1"/>
    <col min="7170" max="7170" width="4.375" style="2173" customWidth="1"/>
    <col min="7171" max="7171" width="5.25" style="2173" customWidth="1"/>
    <col min="7172" max="7172" width="39.75" style="2173" customWidth="1"/>
    <col min="7173" max="7173" width="36.25" style="2173" customWidth="1"/>
    <col min="7174" max="7174" width="15.875" style="2173" customWidth="1"/>
    <col min="7175" max="7175" width="15.25" style="2173" customWidth="1"/>
    <col min="7176" max="7176" width="14.625" style="2173" customWidth="1"/>
    <col min="7177" max="7179" width="14.875" style="2173" bestFit="1" customWidth="1"/>
    <col min="7180" max="7180" width="64.25" style="2173" customWidth="1"/>
    <col min="7181" max="7181" width="5.375" style="2173" customWidth="1"/>
    <col min="7182" max="7424" width="9" style="2173"/>
    <col min="7425" max="7425" width="4.625" style="2173" customWidth="1"/>
    <col min="7426" max="7426" width="4.375" style="2173" customWidth="1"/>
    <col min="7427" max="7427" width="5.25" style="2173" customWidth="1"/>
    <col min="7428" max="7428" width="39.75" style="2173" customWidth="1"/>
    <col min="7429" max="7429" width="36.25" style="2173" customWidth="1"/>
    <col min="7430" max="7430" width="15.875" style="2173" customWidth="1"/>
    <col min="7431" max="7431" width="15.25" style="2173" customWidth="1"/>
    <col min="7432" max="7432" width="14.625" style="2173" customWidth="1"/>
    <col min="7433" max="7435" width="14.875" style="2173" bestFit="1" customWidth="1"/>
    <col min="7436" max="7436" width="64.25" style="2173" customWidth="1"/>
    <col min="7437" max="7437" width="5.375" style="2173" customWidth="1"/>
    <col min="7438" max="7680" width="9" style="2173"/>
    <col min="7681" max="7681" width="4.625" style="2173" customWidth="1"/>
    <col min="7682" max="7682" width="4.375" style="2173" customWidth="1"/>
    <col min="7683" max="7683" width="5.25" style="2173" customWidth="1"/>
    <col min="7684" max="7684" width="39.75" style="2173" customWidth="1"/>
    <col min="7685" max="7685" width="36.25" style="2173" customWidth="1"/>
    <col min="7686" max="7686" width="15.875" style="2173" customWidth="1"/>
    <col min="7687" max="7687" width="15.25" style="2173" customWidth="1"/>
    <col min="7688" max="7688" width="14.625" style="2173" customWidth="1"/>
    <col min="7689" max="7691" width="14.875" style="2173" bestFit="1" customWidth="1"/>
    <col min="7692" max="7692" width="64.25" style="2173" customWidth="1"/>
    <col min="7693" max="7693" width="5.375" style="2173" customWidth="1"/>
    <col min="7694" max="7936" width="9" style="2173"/>
    <col min="7937" max="7937" width="4.625" style="2173" customWidth="1"/>
    <col min="7938" max="7938" width="4.375" style="2173" customWidth="1"/>
    <col min="7939" max="7939" width="5.25" style="2173" customWidth="1"/>
    <col min="7940" max="7940" width="39.75" style="2173" customWidth="1"/>
    <col min="7941" max="7941" width="36.25" style="2173" customWidth="1"/>
    <col min="7942" max="7942" width="15.875" style="2173" customWidth="1"/>
    <col min="7943" max="7943" width="15.25" style="2173" customWidth="1"/>
    <col min="7944" max="7944" width="14.625" style="2173" customWidth="1"/>
    <col min="7945" max="7947" width="14.875" style="2173" bestFit="1" customWidth="1"/>
    <col min="7948" max="7948" width="64.25" style="2173" customWidth="1"/>
    <col min="7949" max="7949" width="5.375" style="2173" customWidth="1"/>
    <col min="7950" max="8192" width="9" style="2173"/>
    <col min="8193" max="8193" width="4.625" style="2173" customWidth="1"/>
    <col min="8194" max="8194" width="4.375" style="2173" customWidth="1"/>
    <col min="8195" max="8195" width="5.25" style="2173" customWidth="1"/>
    <col min="8196" max="8196" width="39.75" style="2173" customWidth="1"/>
    <col min="8197" max="8197" width="36.25" style="2173" customWidth="1"/>
    <col min="8198" max="8198" width="15.875" style="2173" customWidth="1"/>
    <col min="8199" max="8199" width="15.25" style="2173" customWidth="1"/>
    <col min="8200" max="8200" width="14.625" style="2173" customWidth="1"/>
    <col min="8201" max="8203" width="14.875" style="2173" bestFit="1" customWidth="1"/>
    <col min="8204" max="8204" width="64.25" style="2173" customWidth="1"/>
    <col min="8205" max="8205" width="5.375" style="2173" customWidth="1"/>
    <col min="8206" max="8448" width="9" style="2173"/>
    <col min="8449" max="8449" width="4.625" style="2173" customWidth="1"/>
    <col min="8450" max="8450" width="4.375" style="2173" customWidth="1"/>
    <col min="8451" max="8451" width="5.25" style="2173" customWidth="1"/>
    <col min="8452" max="8452" width="39.75" style="2173" customWidth="1"/>
    <col min="8453" max="8453" width="36.25" style="2173" customWidth="1"/>
    <col min="8454" max="8454" width="15.875" style="2173" customWidth="1"/>
    <col min="8455" max="8455" width="15.25" style="2173" customWidth="1"/>
    <col min="8456" max="8456" width="14.625" style="2173" customWidth="1"/>
    <col min="8457" max="8459" width="14.875" style="2173" bestFit="1" customWidth="1"/>
    <col min="8460" max="8460" width="64.25" style="2173" customWidth="1"/>
    <col min="8461" max="8461" width="5.375" style="2173" customWidth="1"/>
    <col min="8462" max="8704" width="9" style="2173"/>
    <col min="8705" max="8705" width="4.625" style="2173" customWidth="1"/>
    <col min="8706" max="8706" width="4.375" style="2173" customWidth="1"/>
    <col min="8707" max="8707" width="5.25" style="2173" customWidth="1"/>
    <col min="8708" max="8708" width="39.75" style="2173" customWidth="1"/>
    <col min="8709" max="8709" width="36.25" style="2173" customWidth="1"/>
    <col min="8710" max="8710" width="15.875" style="2173" customWidth="1"/>
    <col min="8711" max="8711" width="15.25" style="2173" customWidth="1"/>
    <col min="8712" max="8712" width="14.625" style="2173" customWidth="1"/>
    <col min="8713" max="8715" width="14.875" style="2173" bestFit="1" customWidth="1"/>
    <col min="8716" max="8716" width="64.25" style="2173" customWidth="1"/>
    <col min="8717" max="8717" width="5.375" style="2173" customWidth="1"/>
    <col min="8718" max="8960" width="9" style="2173"/>
    <col min="8961" max="8961" width="4.625" style="2173" customWidth="1"/>
    <col min="8962" max="8962" width="4.375" style="2173" customWidth="1"/>
    <col min="8963" max="8963" width="5.25" style="2173" customWidth="1"/>
    <col min="8964" max="8964" width="39.75" style="2173" customWidth="1"/>
    <col min="8965" max="8965" width="36.25" style="2173" customWidth="1"/>
    <col min="8966" max="8966" width="15.875" style="2173" customWidth="1"/>
    <col min="8967" max="8967" width="15.25" style="2173" customWidth="1"/>
    <col min="8968" max="8968" width="14.625" style="2173" customWidth="1"/>
    <col min="8969" max="8971" width="14.875" style="2173" bestFit="1" customWidth="1"/>
    <col min="8972" max="8972" width="64.25" style="2173" customWidth="1"/>
    <col min="8973" max="8973" width="5.375" style="2173" customWidth="1"/>
    <col min="8974" max="9216" width="9" style="2173"/>
    <col min="9217" max="9217" width="4.625" style="2173" customWidth="1"/>
    <col min="9218" max="9218" width="4.375" style="2173" customWidth="1"/>
    <col min="9219" max="9219" width="5.25" style="2173" customWidth="1"/>
    <col min="9220" max="9220" width="39.75" style="2173" customWidth="1"/>
    <col min="9221" max="9221" width="36.25" style="2173" customWidth="1"/>
    <col min="9222" max="9222" width="15.875" style="2173" customWidth="1"/>
    <col min="9223" max="9223" width="15.25" style="2173" customWidth="1"/>
    <col min="9224" max="9224" width="14.625" style="2173" customWidth="1"/>
    <col min="9225" max="9227" width="14.875" style="2173" bestFit="1" customWidth="1"/>
    <col min="9228" max="9228" width="64.25" style="2173" customWidth="1"/>
    <col min="9229" max="9229" width="5.375" style="2173" customWidth="1"/>
    <col min="9230" max="9472" width="9" style="2173"/>
    <col min="9473" max="9473" width="4.625" style="2173" customWidth="1"/>
    <col min="9474" max="9474" width="4.375" style="2173" customWidth="1"/>
    <col min="9475" max="9475" width="5.25" style="2173" customWidth="1"/>
    <col min="9476" max="9476" width="39.75" style="2173" customWidth="1"/>
    <col min="9477" max="9477" width="36.25" style="2173" customWidth="1"/>
    <col min="9478" max="9478" width="15.875" style="2173" customWidth="1"/>
    <col min="9479" max="9479" width="15.25" style="2173" customWidth="1"/>
    <col min="9480" max="9480" width="14.625" style="2173" customWidth="1"/>
    <col min="9481" max="9483" width="14.875" style="2173" bestFit="1" customWidth="1"/>
    <col min="9484" max="9484" width="64.25" style="2173" customWidth="1"/>
    <col min="9485" max="9485" width="5.375" style="2173" customWidth="1"/>
    <col min="9486" max="9728" width="9" style="2173"/>
    <col min="9729" max="9729" width="4.625" style="2173" customWidth="1"/>
    <col min="9730" max="9730" width="4.375" style="2173" customWidth="1"/>
    <col min="9731" max="9731" width="5.25" style="2173" customWidth="1"/>
    <col min="9732" max="9732" width="39.75" style="2173" customWidth="1"/>
    <col min="9733" max="9733" width="36.25" style="2173" customWidth="1"/>
    <col min="9734" max="9734" width="15.875" style="2173" customWidth="1"/>
    <col min="9735" max="9735" width="15.25" style="2173" customWidth="1"/>
    <col min="9736" max="9736" width="14.625" style="2173" customWidth="1"/>
    <col min="9737" max="9739" width="14.875" style="2173" bestFit="1" customWidth="1"/>
    <col min="9740" max="9740" width="64.25" style="2173" customWidth="1"/>
    <col min="9741" max="9741" width="5.375" style="2173" customWidth="1"/>
    <col min="9742" max="9984" width="9" style="2173"/>
    <col min="9985" max="9985" width="4.625" style="2173" customWidth="1"/>
    <col min="9986" max="9986" width="4.375" style="2173" customWidth="1"/>
    <col min="9987" max="9987" width="5.25" style="2173" customWidth="1"/>
    <col min="9988" max="9988" width="39.75" style="2173" customWidth="1"/>
    <col min="9989" max="9989" width="36.25" style="2173" customWidth="1"/>
    <col min="9990" max="9990" width="15.875" style="2173" customWidth="1"/>
    <col min="9991" max="9991" width="15.25" style="2173" customWidth="1"/>
    <col min="9992" max="9992" width="14.625" style="2173" customWidth="1"/>
    <col min="9993" max="9995" width="14.875" style="2173" bestFit="1" customWidth="1"/>
    <col min="9996" max="9996" width="64.25" style="2173" customWidth="1"/>
    <col min="9997" max="9997" width="5.375" style="2173" customWidth="1"/>
    <col min="9998" max="10240" width="9" style="2173"/>
    <col min="10241" max="10241" width="4.625" style="2173" customWidth="1"/>
    <col min="10242" max="10242" width="4.375" style="2173" customWidth="1"/>
    <col min="10243" max="10243" width="5.25" style="2173" customWidth="1"/>
    <col min="10244" max="10244" width="39.75" style="2173" customWidth="1"/>
    <col min="10245" max="10245" width="36.25" style="2173" customWidth="1"/>
    <col min="10246" max="10246" width="15.875" style="2173" customWidth="1"/>
    <col min="10247" max="10247" width="15.25" style="2173" customWidth="1"/>
    <col min="10248" max="10248" width="14.625" style="2173" customWidth="1"/>
    <col min="10249" max="10251" width="14.875" style="2173" bestFit="1" customWidth="1"/>
    <col min="10252" max="10252" width="64.25" style="2173" customWidth="1"/>
    <col min="10253" max="10253" width="5.375" style="2173" customWidth="1"/>
    <col min="10254" max="10496" width="9" style="2173"/>
    <col min="10497" max="10497" width="4.625" style="2173" customWidth="1"/>
    <col min="10498" max="10498" width="4.375" style="2173" customWidth="1"/>
    <col min="10499" max="10499" width="5.25" style="2173" customWidth="1"/>
    <col min="10500" max="10500" width="39.75" style="2173" customWidth="1"/>
    <col min="10501" max="10501" width="36.25" style="2173" customWidth="1"/>
    <col min="10502" max="10502" width="15.875" style="2173" customWidth="1"/>
    <col min="10503" max="10503" width="15.25" style="2173" customWidth="1"/>
    <col min="10504" max="10504" width="14.625" style="2173" customWidth="1"/>
    <col min="10505" max="10507" width="14.875" style="2173" bestFit="1" customWidth="1"/>
    <col min="10508" max="10508" width="64.25" style="2173" customWidth="1"/>
    <col min="10509" max="10509" width="5.375" style="2173" customWidth="1"/>
    <col min="10510" max="10752" width="9" style="2173"/>
    <col min="10753" max="10753" width="4.625" style="2173" customWidth="1"/>
    <col min="10754" max="10754" width="4.375" style="2173" customWidth="1"/>
    <col min="10755" max="10755" width="5.25" style="2173" customWidth="1"/>
    <col min="10756" max="10756" width="39.75" style="2173" customWidth="1"/>
    <col min="10757" max="10757" width="36.25" style="2173" customWidth="1"/>
    <col min="10758" max="10758" width="15.875" style="2173" customWidth="1"/>
    <col min="10759" max="10759" width="15.25" style="2173" customWidth="1"/>
    <col min="10760" max="10760" width="14.625" style="2173" customWidth="1"/>
    <col min="10761" max="10763" width="14.875" style="2173" bestFit="1" customWidth="1"/>
    <col min="10764" max="10764" width="64.25" style="2173" customWidth="1"/>
    <col min="10765" max="10765" width="5.375" style="2173" customWidth="1"/>
    <col min="10766" max="11008" width="9" style="2173"/>
    <col min="11009" max="11009" width="4.625" style="2173" customWidth="1"/>
    <col min="11010" max="11010" width="4.375" style="2173" customWidth="1"/>
    <col min="11011" max="11011" width="5.25" style="2173" customWidth="1"/>
    <col min="11012" max="11012" width="39.75" style="2173" customWidth="1"/>
    <col min="11013" max="11013" width="36.25" style="2173" customWidth="1"/>
    <col min="11014" max="11014" width="15.875" style="2173" customWidth="1"/>
    <col min="11015" max="11015" width="15.25" style="2173" customWidth="1"/>
    <col min="11016" max="11016" width="14.625" style="2173" customWidth="1"/>
    <col min="11017" max="11019" width="14.875" style="2173" bestFit="1" customWidth="1"/>
    <col min="11020" max="11020" width="64.25" style="2173" customWidth="1"/>
    <col min="11021" max="11021" width="5.375" style="2173" customWidth="1"/>
    <col min="11022" max="11264" width="9" style="2173"/>
    <col min="11265" max="11265" width="4.625" style="2173" customWidth="1"/>
    <col min="11266" max="11266" width="4.375" style="2173" customWidth="1"/>
    <col min="11267" max="11267" width="5.25" style="2173" customWidth="1"/>
    <col min="11268" max="11268" width="39.75" style="2173" customWidth="1"/>
    <col min="11269" max="11269" width="36.25" style="2173" customWidth="1"/>
    <col min="11270" max="11270" width="15.875" style="2173" customWidth="1"/>
    <col min="11271" max="11271" width="15.25" style="2173" customWidth="1"/>
    <col min="11272" max="11272" width="14.625" style="2173" customWidth="1"/>
    <col min="11273" max="11275" width="14.875" style="2173" bestFit="1" customWidth="1"/>
    <col min="11276" max="11276" width="64.25" style="2173" customWidth="1"/>
    <col min="11277" max="11277" width="5.375" style="2173" customWidth="1"/>
    <col min="11278" max="11520" width="9" style="2173"/>
    <col min="11521" max="11521" width="4.625" style="2173" customWidth="1"/>
    <col min="11522" max="11522" width="4.375" style="2173" customWidth="1"/>
    <col min="11523" max="11523" width="5.25" style="2173" customWidth="1"/>
    <col min="11524" max="11524" width="39.75" style="2173" customWidth="1"/>
    <col min="11525" max="11525" width="36.25" style="2173" customWidth="1"/>
    <col min="11526" max="11526" width="15.875" style="2173" customWidth="1"/>
    <col min="11527" max="11527" width="15.25" style="2173" customWidth="1"/>
    <col min="11528" max="11528" width="14.625" style="2173" customWidth="1"/>
    <col min="11529" max="11531" width="14.875" style="2173" bestFit="1" customWidth="1"/>
    <col min="11532" max="11532" width="64.25" style="2173" customWidth="1"/>
    <col min="11533" max="11533" width="5.375" style="2173" customWidth="1"/>
    <col min="11534" max="11776" width="9" style="2173"/>
    <col min="11777" max="11777" width="4.625" style="2173" customWidth="1"/>
    <col min="11778" max="11778" width="4.375" style="2173" customWidth="1"/>
    <col min="11779" max="11779" width="5.25" style="2173" customWidth="1"/>
    <col min="11780" max="11780" width="39.75" style="2173" customWidth="1"/>
    <col min="11781" max="11781" width="36.25" style="2173" customWidth="1"/>
    <col min="11782" max="11782" width="15.875" style="2173" customWidth="1"/>
    <col min="11783" max="11783" width="15.25" style="2173" customWidth="1"/>
    <col min="11784" max="11784" width="14.625" style="2173" customWidth="1"/>
    <col min="11785" max="11787" width="14.875" style="2173" bestFit="1" customWidth="1"/>
    <col min="11788" max="11788" width="64.25" style="2173" customWidth="1"/>
    <col min="11789" max="11789" width="5.375" style="2173" customWidth="1"/>
    <col min="11790" max="12032" width="9" style="2173"/>
    <col min="12033" max="12033" width="4.625" style="2173" customWidth="1"/>
    <col min="12034" max="12034" width="4.375" style="2173" customWidth="1"/>
    <col min="12035" max="12035" width="5.25" style="2173" customWidth="1"/>
    <col min="12036" max="12036" width="39.75" style="2173" customWidth="1"/>
    <col min="12037" max="12037" width="36.25" style="2173" customWidth="1"/>
    <col min="12038" max="12038" width="15.875" style="2173" customWidth="1"/>
    <col min="12039" max="12039" width="15.25" style="2173" customWidth="1"/>
    <col min="12040" max="12040" width="14.625" style="2173" customWidth="1"/>
    <col min="12041" max="12043" width="14.875" style="2173" bestFit="1" customWidth="1"/>
    <col min="12044" max="12044" width="64.25" style="2173" customWidth="1"/>
    <col min="12045" max="12045" width="5.375" style="2173" customWidth="1"/>
    <col min="12046" max="12288" width="9" style="2173"/>
    <col min="12289" max="12289" width="4.625" style="2173" customWidth="1"/>
    <col min="12290" max="12290" width="4.375" style="2173" customWidth="1"/>
    <col min="12291" max="12291" width="5.25" style="2173" customWidth="1"/>
    <col min="12292" max="12292" width="39.75" style="2173" customWidth="1"/>
    <col min="12293" max="12293" width="36.25" style="2173" customWidth="1"/>
    <col min="12294" max="12294" width="15.875" style="2173" customWidth="1"/>
    <col min="12295" max="12295" width="15.25" style="2173" customWidth="1"/>
    <col min="12296" max="12296" width="14.625" style="2173" customWidth="1"/>
    <col min="12297" max="12299" width="14.875" style="2173" bestFit="1" customWidth="1"/>
    <col min="12300" max="12300" width="64.25" style="2173" customWidth="1"/>
    <col min="12301" max="12301" width="5.375" style="2173" customWidth="1"/>
    <col min="12302" max="12544" width="9" style="2173"/>
    <col min="12545" max="12545" width="4.625" style="2173" customWidth="1"/>
    <col min="12546" max="12546" width="4.375" style="2173" customWidth="1"/>
    <col min="12547" max="12547" width="5.25" style="2173" customWidth="1"/>
    <col min="12548" max="12548" width="39.75" style="2173" customWidth="1"/>
    <col min="12549" max="12549" width="36.25" style="2173" customWidth="1"/>
    <col min="12550" max="12550" width="15.875" style="2173" customWidth="1"/>
    <col min="12551" max="12551" width="15.25" style="2173" customWidth="1"/>
    <col min="12552" max="12552" width="14.625" style="2173" customWidth="1"/>
    <col min="12553" max="12555" width="14.875" style="2173" bestFit="1" customWidth="1"/>
    <col min="12556" max="12556" width="64.25" style="2173" customWidth="1"/>
    <col min="12557" max="12557" width="5.375" style="2173" customWidth="1"/>
    <col min="12558" max="12800" width="9" style="2173"/>
    <col min="12801" max="12801" width="4.625" style="2173" customWidth="1"/>
    <col min="12802" max="12802" width="4.375" style="2173" customWidth="1"/>
    <col min="12803" max="12803" width="5.25" style="2173" customWidth="1"/>
    <col min="12804" max="12804" width="39.75" style="2173" customWidth="1"/>
    <col min="12805" max="12805" width="36.25" style="2173" customWidth="1"/>
    <col min="12806" max="12806" width="15.875" style="2173" customWidth="1"/>
    <col min="12807" max="12807" width="15.25" style="2173" customWidth="1"/>
    <col min="12808" max="12808" width="14.625" style="2173" customWidth="1"/>
    <col min="12809" max="12811" width="14.875" style="2173" bestFit="1" customWidth="1"/>
    <col min="12812" max="12812" width="64.25" style="2173" customWidth="1"/>
    <col min="12813" max="12813" width="5.375" style="2173" customWidth="1"/>
    <col min="12814" max="13056" width="9" style="2173"/>
    <col min="13057" max="13057" width="4.625" style="2173" customWidth="1"/>
    <col min="13058" max="13058" width="4.375" style="2173" customWidth="1"/>
    <col min="13059" max="13059" width="5.25" style="2173" customWidth="1"/>
    <col min="13060" max="13060" width="39.75" style="2173" customWidth="1"/>
    <col min="13061" max="13061" width="36.25" style="2173" customWidth="1"/>
    <col min="13062" max="13062" width="15.875" style="2173" customWidth="1"/>
    <col min="13063" max="13063" width="15.25" style="2173" customWidth="1"/>
    <col min="13064" max="13064" width="14.625" style="2173" customWidth="1"/>
    <col min="13065" max="13067" width="14.875" style="2173" bestFit="1" customWidth="1"/>
    <col min="13068" max="13068" width="64.25" style="2173" customWidth="1"/>
    <col min="13069" max="13069" width="5.375" style="2173" customWidth="1"/>
    <col min="13070" max="13312" width="9" style="2173"/>
    <col min="13313" max="13313" width="4.625" style="2173" customWidth="1"/>
    <col min="13314" max="13314" width="4.375" style="2173" customWidth="1"/>
    <col min="13315" max="13315" width="5.25" style="2173" customWidth="1"/>
    <col min="13316" max="13316" width="39.75" style="2173" customWidth="1"/>
    <col min="13317" max="13317" width="36.25" style="2173" customWidth="1"/>
    <col min="13318" max="13318" width="15.875" style="2173" customWidth="1"/>
    <col min="13319" max="13319" width="15.25" style="2173" customWidth="1"/>
    <col min="13320" max="13320" width="14.625" style="2173" customWidth="1"/>
    <col min="13321" max="13323" width="14.875" style="2173" bestFit="1" customWidth="1"/>
    <col min="13324" max="13324" width="64.25" style="2173" customWidth="1"/>
    <col min="13325" max="13325" width="5.375" style="2173" customWidth="1"/>
    <col min="13326" max="13568" width="9" style="2173"/>
    <col min="13569" max="13569" width="4.625" style="2173" customWidth="1"/>
    <col min="13570" max="13570" width="4.375" style="2173" customWidth="1"/>
    <col min="13571" max="13571" width="5.25" style="2173" customWidth="1"/>
    <col min="13572" max="13572" width="39.75" style="2173" customWidth="1"/>
    <col min="13573" max="13573" width="36.25" style="2173" customWidth="1"/>
    <col min="13574" max="13574" width="15.875" style="2173" customWidth="1"/>
    <col min="13575" max="13575" width="15.25" style="2173" customWidth="1"/>
    <col min="13576" max="13576" width="14.625" style="2173" customWidth="1"/>
    <col min="13577" max="13579" width="14.875" style="2173" bestFit="1" customWidth="1"/>
    <col min="13580" max="13580" width="64.25" style="2173" customWidth="1"/>
    <col min="13581" max="13581" width="5.375" style="2173" customWidth="1"/>
    <col min="13582" max="13824" width="9" style="2173"/>
    <col min="13825" max="13825" width="4.625" style="2173" customWidth="1"/>
    <col min="13826" max="13826" width="4.375" style="2173" customWidth="1"/>
    <col min="13827" max="13827" width="5.25" style="2173" customWidth="1"/>
    <col min="13828" max="13828" width="39.75" style="2173" customWidth="1"/>
    <col min="13829" max="13829" width="36.25" style="2173" customWidth="1"/>
    <col min="13830" max="13830" width="15.875" style="2173" customWidth="1"/>
    <col min="13831" max="13831" width="15.25" style="2173" customWidth="1"/>
    <col min="13832" max="13832" width="14.625" style="2173" customWidth="1"/>
    <col min="13833" max="13835" width="14.875" style="2173" bestFit="1" customWidth="1"/>
    <col min="13836" max="13836" width="64.25" style="2173" customWidth="1"/>
    <col min="13837" max="13837" width="5.375" style="2173" customWidth="1"/>
    <col min="13838" max="14080" width="9" style="2173"/>
    <col min="14081" max="14081" width="4.625" style="2173" customWidth="1"/>
    <col min="14082" max="14082" width="4.375" style="2173" customWidth="1"/>
    <col min="14083" max="14083" width="5.25" style="2173" customWidth="1"/>
    <col min="14084" max="14084" width="39.75" style="2173" customWidth="1"/>
    <col min="14085" max="14085" width="36.25" style="2173" customWidth="1"/>
    <col min="14086" max="14086" width="15.875" style="2173" customWidth="1"/>
    <col min="14087" max="14087" width="15.25" style="2173" customWidth="1"/>
    <col min="14088" max="14088" width="14.625" style="2173" customWidth="1"/>
    <col min="14089" max="14091" width="14.875" style="2173" bestFit="1" customWidth="1"/>
    <col min="14092" max="14092" width="64.25" style="2173" customWidth="1"/>
    <col min="14093" max="14093" width="5.375" style="2173" customWidth="1"/>
    <col min="14094" max="14336" width="9" style="2173"/>
    <col min="14337" max="14337" width="4.625" style="2173" customWidth="1"/>
    <col min="14338" max="14338" width="4.375" style="2173" customWidth="1"/>
    <col min="14339" max="14339" width="5.25" style="2173" customWidth="1"/>
    <col min="14340" max="14340" width="39.75" style="2173" customWidth="1"/>
    <col min="14341" max="14341" width="36.25" style="2173" customWidth="1"/>
    <col min="14342" max="14342" width="15.875" style="2173" customWidth="1"/>
    <col min="14343" max="14343" width="15.25" style="2173" customWidth="1"/>
    <col min="14344" max="14344" width="14.625" style="2173" customWidth="1"/>
    <col min="14345" max="14347" width="14.875" style="2173" bestFit="1" customWidth="1"/>
    <col min="14348" max="14348" width="64.25" style="2173" customWidth="1"/>
    <col min="14349" max="14349" width="5.375" style="2173" customWidth="1"/>
    <col min="14350" max="14592" width="9" style="2173"/>
    <col min="14593" max="14593" width="4.625" style="2173" customWidth="1"/>
    <col min="14594" max="14594" width="4.375" style="2173" customWidth="1"/>
    <col min="14595" max="14595" width="5.25" style="2173" customWidth="1"/>
    <col min="14596" max="14596" width="39.75" style="2173" customWidth="1"/>
    <col min="14597" max="14597" width="36.25" style="2173" customWidth="1"/>
    <col min="14598" max="14598" width="15.875" style="2173" customWidth="1"/>
    <col min="14599" max="14599" width="15.25" style="2173" customWidth="1"/>
    <col min="14600" max="14600" width="14.625" style="2173" customWidth="1"/>
    <col min="14601" max="14603" width="14.875" style="2173" bestFit="1" customWidth="1"/>
    <col min="14604" max="14604" width="64.25" style="2173" customWidth="1"/>
    <col min="14605" max="14605" width="5.375" style="2173" customWidth="1"/>
    <col min="14606" max="14848" width="9" style="2173"/>
    <col min="14849" max="14849" width="4.625" style="2173" customWidth="1"/>
    <col min="14850" max="14850" width="4.375" style="2173" customWidth="1"/>
    <col min="14851" max="14851" width="5.25" style="2173" customWidth="1"/>
    <col min="14852" max="14852" width="39.75" style="2173" customWidth="1"/>
    <col min="14853" max="14853" width="36.25" style="2173" customWidth="1"/>
    <col min="14854" max="14854" width="15.875" style="2173" customWidth="1"/>
    <col min="14855" max="14855" width="15.25" style="2173" customWidth="1"/>
    <col min="14856" max="14856" width="14.625" style="2173" customWidth="1"/>
    <col min="14857" max="14859" width="14.875" style="2173" bestFit="1" customWidth="1"/>
    <col min="14860" max="14860" width="64.25" style="2173" customWidth="1"/>
    <col min="14861" max="14861" width="5.375" style="2173" customWidth="1"/>
    <col min="14862" max="15104" width="9" style="2173"/>
    <col min="15105" max="15105" width="4.625" style="2173" customWidth="1"/>
    <col min="15106" max="15106" width="4.375" style="2173" customWidth="1"/>
    <col min="15107" max="15107" width="5.25" style="2173" customWidth="1"/>
    <col min="15108" max="15108" width="39.75" style="2173" customWidth="1"/>
    <col min="15109" max="15109" width="36.25" style="2173" customWidth="1"/>
    <col min="15110" max="15110" width="15.875" style="2173" customWidth="1"/>
    <col min="15111" max="15111" width="15.25" style="2173" customWidth="1"/>
    <col min="15112" max="15112" width="14.625" style="2173" customWidth="1"/>
    <col min="15113" max="15115" width="14.875" style="2173" bestFit="1" customWidth="1"/>
    <col min="15116" max="15116" width="64.25" style="2173" customWidth="1"/>
    <col min="15117" max="15117" width="5.375" style="2173" customWidth="1"/>
    <col min="15118" max="15360" width="9" style="2173"/>
    <col min="15361" max="15361" width="4.625" style="2173" customWidth="1"/>
    <col min="15362" max="15362" width="4.375" style="2173" customWidth="1"/>
    <col min="15363" max="15363" width="5.25" style="2173" customWidth="1"/>
    <col min="15364" max="15364" width="39.75" style="2173" customWidth="1"/>
    <col min="15365" max="15365" width="36.25" style="2173" customWidth="1"/>
    <col min="15366" max="15366" width="15.875" style="2173" customWidth="1"/>
    <col min="15367" max="15367" width="15.25" style="2173" customWidth="1"/>
    <col min="15368" max="15368" width="14.625" style="2173" customWidth="1"/>
    <col min="15369" max="15371" width="14.875" style="2173" bestFit="1" customWidth="1"/>
    <col min="15372" max="15372" width="64.25" style="2173" customWidth="1"/>
    <col min="15373" max="15373" width="5.375" style="2173" customWidth="1"/>
    <col min="15374" max="15616" width="9" style="2173"/>
    <col min="15617" max="15617" width="4.625" style="2173" customWidth="1"/>
    <col min="15618" max="15618" width="4.375" style="2173" customWidth="1"/>
    <col min="15619" max="15619" width="5.25" style="2173" customWidth="1"/>
    <col min="15620" max="15620" width="39.75" style="2173" customWidth="1"/>
    <col min="15621" max="15621" width="36.25" style="2173" customWidth="1"/>
    <col min="15622" max="15622" width="15.875" style="2173" customWidth="1"/>
    <col min="15623" max="15623" width="15.25" style="2173" customWidth="1"/>
    <col min="15624" max="15624" width="14.625" style="2173" customWidth="1"/>
    <col min="15625" max="15627" width="14.875" style="2173" bestFit="1" customWidth="1"/>
    <col min="15628" max="15628" width="64.25" style="2173" customWidth="1"/>
    <col min="15629" max="15629" width="5.375" style="2173" customWidth="1"/>
    <col min="15630" max="15872" width="9" style="2173"/>
    <col min="15873" max="15873" width="4.625" style="2173" customWidth="1"/>
    <col min="15874" max="15874" width="4.375" style="2173" customWidth="1"/>
    <col min="15875" max="15875" width="5.25" style="2173" customWidth="1"/>
    <col min="15876" max="15876" width="39.75" style="2173" customWidth="1"/>
    <col min="15877" max="15877" width="36.25" style="2173" customWidth="1"/>
    <col min="15878" max="15878" width="15.875" style="2173" customWidth="1"/>
    <col min="15879" max="15879" width="15.25" style="2173" customWidth="1"/>
    <col min="15880" max="15880" width="14.625" style="2173" customWidth="1"/>
    <col min="15881" max="15883" width="14.875" style="2173" bestFit="1" customWidth="1"/>
    <col min="15884" max="15884" width="64.25" style="2173" customWidth="1"/>
    <col min="15885" max="15885" width="5.375" style="2173" customWidth="1"/>
    <col min="15886" max="16128" width="9" style="2173"/>
    <col min="16129" max="16129" width="4.625" style="2173" customWidth="1"/>
    <col min="16130" max="16130" width="4.375" style="2173" customWidth="1"/>
    <col min="16131" max="16131" width="5.25" style="2173" customWidth="1"/>
    <col min="16132" max="16132" width="39.75" style="2173" customWidth="1"/>
    <col min="16133" max="16133" width="36.25" style="2173" customWidth="1"/>
    <col min="16134" max="16134" width="15.875" style="2173" customWidth="1"/>
    <col min="16135" max="16135" width="15.25" style="2173" customWidth="1"/>
    <col min="16136" max="16136" width="14.625" style="2173" customWidth="1"/>
    <col min="16137" max="16139" width="14.875" style="2173" bestFit="1" customWidth="1"/>
    <col min="16140" max="16140" width="64.25" style="2173" customWidth="1"/>
    <col min="16141" max="16141" width="5.375" style="2173" customWidth="1"/>
    <col min="16142" max="16384" width="9" style="2173"/>
  </cols>
  <sheetData>
    <row r="1" spans="1:12" ht="75" customHeight="1">
      <c r="A1" s="2476" t="s">
        <v>2268</v>
      </c>
      <c r="B1" s="2476"/>
      <c r="C1" s="2476"/>
      <c r="D1" s="2476"/>
      <c r="E1" s="2476"/>
      <c r="F1" s="2476"/>
      <c r="G1" s="2476"/>
      <c r="H1" s="2476"/>
      <c r="I1" s="2476"/>
      <c r="J1" s="2476"/>
      <c r="K1" s="2476"/>
      <c r="L1" s="2476"/>
    </row>
    <row r="2" spans="1:12" ht="26.25" customHeight="1">
      <c r="A2" s="2174"/>
      <c r="B2" s="2174"/>
      <c r="C2" s="2174"/>
      <c r="D2" s="2174"/>
      <c r="E2" s="2175"/>
      <c r="F2" s="2174"/>
      <c r="G2" s="2174"/>
      <c r="H2" s="2176"/>
      <c r="I2" s="2477" t="s">
        <v>2269</v>
      </c>
      <c r="J2" s="2477"/>
      <c r="K2" s="2477"/>
      <c r="L2" s="2477"/>
    </row>
    <row r="3" spans="1:12" ht="25.5">
      <c r="A3" s="2177"/>
      <c r="B3" s="2177"/>
      <c r="C3" s="2177"/>
      <c r="D3" s="2177"/>
      <c r="E3" s="2178"/>
      <c r="F3" s="2177"/>
      <c r="G3" s="2177"/>
      <c r="H3" s="2177"/>
      <c r="I3" s="2477" t="s">
        <v>2270</v>
      </c>
      <c r="J3" s="2477"/>
      <c r="K3" s="2477"/>
      <c r="L3" s="2477"/>
    </row>
    <row r="4" spans="1:12" ht="22.5" thickBot="1">
      <c r="A4" s="2478"/>
      <c r="B4" s="2478"/>
      <c r="C4" s="2478"/>
      <c r="D4" s="2478"/>
      <c r="E4" s="2478"/>
      <c r="F4" s="2179"/>
      <c r="G4" s="2179"/>
      <c r="H4" s="2179"/>
      <c r="I4" s="2179"/>
      <c r="J4" s="2179"/>
      <c r="K4" s="2179"/>
      <c r="L4" s="2180" t="s">
        <v>2271</v>
      </c>
    </row>
    <row r="5" spans="1:12" ht="39.950000000000003" customHeight="1">
      <c r="A5" s="2490"/>
      <c r="B5" s="2491"/>
      <c r="C5" s="2491"/>
      <c r="D5" s="2492"/>
      <c r="E5" s="2493" t="s">
        <v>2272</v>
      </c>
      <c r="F5" s="2482" t="s">
        <v>2273</v>
      </c>
      <c r="G5" s="2482" t="s">
        <v>2274</v>
      </c>
      <c r="H5" s="2482" t="s">
        <v>2275</v>
      </c>
      <c r="I5" s="2482" t="s">
        <v>2276</v>
      </c>
      <c r="J5" s="2482" t="s">
        <v>2277</v>
      </c>
      <c r="K5" s="2482" t="s">
        <v>2278</v>
      </c>
      <c r="L5" s="2484" t="s">
        <v>2279</v>
      </c>
    </row>
    <row r="6" spans="1:12" ht="39.950000000000003" customHeight="1" thickBot="1">
      <c r="A6" s="2181" t="s">
        <v>2280</v>
      </c>
      <c r="B6" s="2182" t="s">
        <v>18</v>
      </c>
      <c r="C6" s="2182" t="s">
        <v>2281</v>
      </c>
      <c r="D6" s="2182" t="s">
        <v>2282</v>
      </c>
      <c r="E6" s="2494"/>
      <c r="F6" s="2483"/>
      <c r="G6" s="2483"/>
      <c r="H6" s="2483"/>
      <c r="I6" s="2483"/>
      <c r="J6" s="2483"/>
      <c r="K6" s="2483"/>
      <c r="L6" s="2485"/>
    </row>
    <row r="7" spans="1:12" ht="24.95" customHeight="1" thickTop="1">
      <c r="A7" s="2486" t="s">
        <v>2283</v>
      </c>
      <c r="B7" s="2487"/>
      <c r="C7" s="2487"/>
      <c r="D7" s="2487"/>
      <c r="E7" s="2183"/>
      <c r="F7" s="2184">
        <f t="shared" ref="F7:K7" si="0">F8+F19</f>
        <v>193150000</v>
      </c>
      <c r="G7" s="2184">
        <f t="shared" si="0"/>
        <v>151394540</v>
      </c>
      <c r="H7" s="2184">
        <f t="shared" si="0"/>
        <v>137945240</v>
      </c>
      <c r="I7" s="2184">
        <f t="shared" si="0"/>
        <v>45204760</v>
      </c>
      <c r="J7" s="2184">
        <f t="shared" si="0"/>
        <v>50592480</v>
      </c>
      <c r="K7" s="2184">
        <f t="shared" si="0"/>
        <v>4611380</v>
      </c>
      <c r="L7" s="2185"/>
    </row>
    <row r="8" spans="1:12" ht="24.95" customHeight="1">
      <c r="A8" s="2488" t="s">
        <v>2284</v>
      </c>
      <c r="B8" s="2489"/>
      <c r="C8" s="2489"/>
      <c r="D8" s="2489"/>
      <c r="E8" s="2186"/>
      <c r="F8" s="2187">
        <f t="shared" ref="F8:K8" si="1">F9+F14</f>
        <v>72850000</v>
      </c>
      <c r="G8" s="2187">
        <f t="shared" si="1"/>
        <v>31122440</v>
      </c>
      <c r="H8" s="2187">
        <f>H9+H14</f>
        <v>41727560</v>
      </c>
      <c r="I8" s="2187">
        <f t="shared" si="1"/>
        <v>21122440</v>
      </c>
      <c r="J8" s="2187">
        <f t="shared" si="1"/>
        <v>26538060</v>
      </c>
      <c r="K8" s="2187">
        <f t="shared" si="1"/>
        <v>4584380</v>
      </c>
      <c r="L8" s="2188"/>
    </row>
    <row r="9" spans="1:12" ht="24.95" customHeight="1">
      <c r="A9" s="2189" t="s">
        <v>2285</v>
      </c>
      <c r="B9" s="2190"/>
      <c r="C9" s="2191"/>
      <c r="D9" s="2191"/>
      <c r="E9" s="2192"/>
      <c r="F9" s="2193">
        <f t="shared" ref="F9:K11" si="2">F10</f>
        <v>62850000</v>
      </c>
      <c r="G9" s="2193">
        <f t="shared" si="2"/>
        <v>21122440</v>
      </c>
      <c r="H9" s="2193">
        <f t="shared" si="2"/>
        <v>41727560</v>
      </c>
      <c r="I9" s="2193">
        <f t="shared" si="2"/>
        <v>21122440</v>
      </c>
      <c r="J9" s="2193">
        <f t="shared" si="2"/>
        <v>17038060</v>
      </c>
      <c r="K9" s="2193">
        <f t="shared" si="2"/>
        <v>4084380</v>
      </c>
      <c r="L9" s="2194"/>
    </row>
    <row r="10" spans="1:12" s="2200" customFormat="1" ht="24.95" customHeight="1">
      <c r="A10" s="2195"/>
      <c r="B10" s="2196" t="s">
        <v>2286</v>
      </c>
      <c r="C10" s="2197"/>
      <c r="D10" s="2198"/>
      <c r="E10" s="2192"/>
      <c r="F10" s="2193">
        <f t="shared" si="2"/>
        <v>62850000</v>
      </c>
      <c r="G10" s="2193">
        <f t="shared" si="2"/>
        <v>21122440</v>
      </c>
      <c r="H10" s="2193">
        <f t="shared" si="2"/>
        <v>41727560</v>
      </c>
      <c r="I10" s="2193">
        <f t="shared" si="2"/>
        <v>21122440</v>
      </c>
      <c r="J10" s="2193">
        <f t="shared" si="2"/>
        <v>17038060</v>
      </c>
      <c r="K10" s="2193">
        <f t="shared" si="2"/>
        <v>4084380</v>
      </c>
      <c r="L10" s="2199"/>
    </row>
    <row r="11" spans="1:12" s="2200" customFormat="1" ht="24.95" customHeight="1">
      <c r="A11" s="2195"/>
      <c r="B11" s="2196"/>
      <c r="C11" s="2201" t="s">
        <v>2287</v>
      </c>
      <c r="D11" s="2198"/>
      <c r="E11" s="2192"/>
      <c r="F11" s="2193">
        <f t="shared" si="2"/>
        <v>62850000</v>
      </c>
      <c r="G11" s="2193">
        <f t="shared" si="2"/>
        <v>21122440</v>
      </c>
      <c r="H11" s="2193">
        <f t="shared" si="2"/>
        <v>41727560</v>
      </c>
      <c r="I11" s="2193">
        <f t="shared" si="2"/>
        <v>21122440</v>
      </c>
      <c r="J11" s="2193">
        <f t="shared" si="2"/>
        <v>17038060</v>
      </c>
      <c r="K11" s="2193">
        <f t="shared" si="2"/>
        <v>4084380</v>
      </c>
      <c r="L11" s="2199"/>
    </row>
    <row r="12" spans="1:12" s="2200" customFormat="1" ht="24.95" customHeight="1">
      <c r="A12" s="2195"/>
      <c r="B12" s="2202"/>
      <c r="C12" s="2203"/>
      <c r="D12" s="2202" t="s">
        <v>2288</v>
      </c>
      <c r="E12" s="2192"/>
      <c r="F12" s="2193">
        <f t="shared" ref="F12:K12" si="3">SUM(F13:F13)</f>
        <v>62850000</v>
      </c>
      <c r="G12" s="2193">
        <f t="shared" si="3"/>
        <v>21122440</v>
      </c>
      <c r="H12" s="2193">
        <f t="shared" si="3"/>
        <v>41727560</v>
      </c>
      <c r="I12" s="2193">
        <f t="shared" si="3"/>
        <v>21122440</v>
      </c>
      <c r="J12" s="2193">
        <f t="shared" si="3"/>
        <v>17038060</v>
      </c>
      <c r="K12" s="2193">
        <f t="shared" si="3"/>
        <v>4084380</v>
      </c>
      <c r="L12" s="2204"/>
    </row>
    <row r="13" spans="1:12" s="2200" customFormat="1" ht="23.1" customHeight="1">
      <c r="A13" s="2205"/>
      <c r="B13" s="2206"/>
      <c r="C13" s="2207"/>
      <c r="D13" s="2207" t="s">
        <v>2289</v>
      </c>
      <c r="E13" s="2208" t="s">
        <v>2290</v>
      </c>
      <c r="F13" s="2209">
        <v>62850000</v>
      </c>
      <c r="G13" s="2209">
        <v>21122440</v>
      </c>
      <c r="H13" s="2209">
        <v>41727560</v>
      </c>
      <c r="I13" s="2209">
        <v>21122440</v>
      </c>
      <c r="J13" s="2209">
        <v>17038060</v>
      </c>
      <c r="K13" s="2209">
        <v>4084380</v>
      </c>
      <c r="L13" s="2210" t="s">
        <v>2291</v>
      </c>
    </row>
    <row r="14" spans="1:12" s="2200" customFormat="1" ht="23.1" customHeight="1">
      <c r="A14" s="2211" t="s">
        <v>2292</v>
      </c>
      <c r="B14" s="2196"/>
      <c r="C14" s="2212"/>
      <c r="D14" s="2212"/>
      <c r="E14" s="2208"/>
      <c r="F14" s="2209">
        <f t="shared" ref="F14:K17" si="4">F15</f>
        <v>10000000</v>
      </c>
      <c r="G14" s="2209">
        <f t="shared" si="4"/>
        <v>10000000</v>
      </c>
      <c r="H14" s="2213">
        <f t="shared" si="4"/>
        <v>0</v>
      </c>
      <c r="I14" s="2209">
        <f t="shared" si="4"/>
        <v>0</v>
      </c>
      <c r="J14" s="2209">
        <f t="shared" si="4"/>
        <v>9500000</v>
      </c>
      <c r="K14" s="2209">
        <f t="shared" si="4"/>
        <v>500000</v>
      </c>
      <c r="L14" s="2210"/>
    </row>
    <row r="15" spans="1:12" s="2200" customFormat="1" ht="23.1" customHeight="1">
      <c r="A15" s="2211"/>
      <c r="B15" s="2196" t="s">
        <v>2293</v>
      </c>
      <c r="C15" s="2212"/>
      <c r="D15" s="2212"/>
      <c r="E15" s="2208"/>
      <c r="F15" s="2209">
        <f t="shared" si="4"/>
        <v>10000000</v>
      </c>
      <c r="G15" s="2209">
        <f t="shared" si="4"/>
        <v>10000000</v>
      </c>
      <c r="H15" s="2213">
        <f t="shared" si="4"/>
        <v>0</v>
      </c>
      <c r="I15" s="2209">
        <f t="shared" si="4"/>
        <v>0</v>
      </c>
      <c r="J15" s="2209">
        <f t="shared" si="4"/>
        <v>9500000</v>
      </c>
      <c r="K15" s="2209">
        <f t="shared" si="4"/>
        <v>500000</v>
      </c>
      <c r="L15" s="2210"/>
    </row>
    <row r="16" spans="1:12" s="2200" customFormat="1" ht="23.1" customHeight="1">
      <c r="A16" s="2211"/>
      <c r="B16" s="2196"/>
      <c r="C16" s="2212" t="s">
        <v>2294</v>
      </c>
      <c r="D16" s="2212"/>
      <c r="E16" s="2208"/>
      <c r="F16" s="2209">
        <f t="shared" si="4"/>
        <v>10000000</v>
      </c>
      <c r="G16" s="2209">
        <f t="shared" si="4"/>
        <v>10000000</v>
      </c>
      <c r="H16" s="2213">
        <f t="shared" si="4"/>
        <v>0</v>
      </c>
      <c r="I16" s="2209">
        <f t="shared" si="4"/>
        <v>0</v>
      </c>
      <c r="J16" s="2209">
        <f t="shared" si="4"/>
        <v>9500000</v>
      </c>
      <c r="K16" s="2209">
        <f t="shared" si="4"/>
        <v>500000</v>
      </c>
      <c r="L16" s="2210"/>
    </row>
    <row r="17" spans="1:12" s="2200" customFormat="1" ht="23.1" customHeight="1">
      <c r="A17" s="2211"/>
      <c r="B17" s="2196"/>
      <c r="C17" s="2212"/>
      <c r="D17" s="2212" t="s">
        <v>2288</v>
      </c>
      <c r="E17" s="2208"/>
      <c r="F17" s="2209">
        <f t="shared" si="4"/>
        <v>10000000</v>
      </c>
      <c r="G17" s="2209">
        <f t="shared" si="4"/>
        <v>10000000</v>
      </c>
      <c r="H17" s="2213">
        <f t="shared" si="4"/>
        <v>0</v>
      </c>
      <c r="I17" s="2209">
        <f t="shared" si="4"/>
        <v>0</v>
      </c>
      <c r="J17" s="2209">
        <f t="shared" si="4"/>
        <v>9500000</v>
      </c>
      <c r="K17" s="2209">
        <f t="shared" si="4"/>
        <v>500000</v>
      </c>
      <c r="L17" s="2210"/>
    </row>
    <row r="18" spans="1:12" s="2200" customFormat="1" ht="23.1" customHeight="1">
      <c r="A18" s="2214"/>
      <c r="B18" s="2215"/>
      <c r="C18" s="2216"/>
      <c r="D18" s="2216" t="s">
        <v>2295</v>
      </c>
      <c r="E18" s="2208" t="s">
        <v>2296</v>
      </c>
      <c r="F18" s="2209">
        <v>10000000</v>
      </c>
      <c r="G18" s="2209">
        <v>10000000</v>
      </c>
      <c r="H18" s="2213">
        <v>0</v>
      </c>
      <c r="I18" s="2209">
        <v>0</v>
      </c>
      <c r="J18" s="2209">
        <v>9500000</v>
      </c>
      <c r="K18" s="2209">
        <v>500000</v>
      </c>
      <c r="L18" s="2210" t="s">
        <v>2297</v>
      </c>
    </row>
    <row r="19" spans="1:12" ht="23.1" customHeight="1">
      <c r="A19" s="2479" t="s">
        <v>2298</v>
      </c>
      <c r="B19" s="2480"/>
      <c r="C19" s="2480"/>
      <c r="D19" s="2481"/>
      <c r="E19" s="2217"/>
      <c r="F19" s="2209">
        <f t="shared" ref="F19:K19" si="5">F20</f>
        <v>120300000</v>
      </c>
      <c r="G19" s="2209">
        <f t="shared" si="5"/>
        <v>120272100</v>
      </c>
      <c r="H19" s="2209">
        <f t="shared" si="5"/>
        <v>96217680</v>
      </c>
      <c r="I19" s="2209">
        <f t="shared" si="5"/>
        <v>24082320</v>
      </c>
      <c r="J19" s="2209">
        <f t="shared" si="5"/>
        <v>24054420</v>
      </c>
      <c r="K19" s="2209">
        <f t="shared" si="5"/>
        <v>27000</v>
      </c>
      <c r="L19" s="2204"/>
    </row>
    <row r="20" spans="1:12" ht="23.1" customHeight="1">
      <c r="A20" s="2189" t="s">
        <v>2299</v>
      </c>
      <c r="B20" s="2190"/>
      <c r="C20" s="2191"/>
      <c r="D20" s="2218"/>
      <c r="E20" s="2192"/>
      <c r="F20" s="2209">
        <f t="shared" ref="F20:K20" si="6">F24</f>
        <v>120300000</v>
      </c>
      <c r="G20" s="2209">
        <f t="shared" si="6"/>
        <v>120272100</v>
      </c>
      <c r="H20" s="2209">
        <f t="shared" si="6"/>
        <v>96217680</v>
      </c>
      <c r="I20" s="2209">
        <f t="shared" si="6"/>
        <v>24082320</v>
      </c>
      <c r="J20" s="2209">
        <f t="shared" si="6"/>
        <v>24054420</v>
      </c>
      <c r="K20" s="2209">
        <f t="shared" si="6"/>
        <v>27000</v>
      </c>
      <c r="L20" s="2204"/>
    </row>
    <row r="21" spans="1:12" ht="23.1" customHeight="1">
      <c r="A21" s="2189"/>
      <c r="B21" s="2190" t="s">
        <v>2300</v>
      </c>
      <c r="C21" s="2191"/>
      <c r="D21" s="2191"/>
      <c r="E21" s="2192"/>
      <c r="F21" s="2209">
        <f t="shared" ref="F21:K23" si="7">F22</f>
        <v>120300000</v>
      </c>
      <c r="G21" s="2209">
        <f t="shared" si="7"/>
        <v>120272100</v>
      </c>
      <c r="H21" s="2209">
        <f t="shared" si="7"/>
        <v>96217680</v>
      </c>
      <c r="I21" s="2209">
        <f t="shared" si="7"/>
        <v>24082320</v>
      </c>
      <c r="J21" s="2209">
        <f t="shared" si="7"/>
        <v>24054420</v>
      </c>
      <c r="K21" s="2209">
        <f t="shared" si="7"/>
        <v>27000</v>
      </c>
      <c r="L21" s="2204"/>
    </row>
    <row r="22" spans="1:12" ht="23.1" customHeight="1">
      <c r="A22" s="2189"/>
      <c r="B22" s="2190"/>
      <c r="C22" s="2191" t="s">
        <v>2301</v>
      </c>
      <c r="D22" s="2191"/>
      <c r="E22" s="2192"/>
      <c r="F22" s="2209">
        <f t="shared" si="7"/>
        <v>120300000</v>
      </c>
      <c r="G22" s="2209">
        <f t="shared" si="7"/>
        <v>120272100</v>
      </c>
      <c r="H22" s="2209">
        <f t="shared" si="7"/>
        <v>96217680</v>
      </c>
      <c r="I22" s="2209">
        <f t="shared" si="7"/>
        <v>24082320</v>
      </c>
      <c r="J22" s="2209">
        <f t="shared" si="7"/>
        <v>24054420</v>
      </c>
      <c r="K22" s="2209">
        <f t="shared" si="7"/>
        <v>27000</v>
      </c>
      <c r="L22" s="2204"/>
    </row>
    <row r="23" spans="1:12" ht="23.1" customHeight="1">
      <c r="A23" s="2189"/>
      <c r="B23" s="2190"/>
      <c r="C23" s="2191"/>
      <c r="D23" s="2191" t="s">
        <v>2302</v>
      </c>
      <c r="E23" s="2192"/>
      <c r="F23" s="2209">
        <f t="shared" si="7"/>
        <v>120300000</v>
      </c>
      <c r="G23" s="2209">
        <f t="shared" si="7"/>
        <v>120272100</v>
      </c>
      <c r="H23" s="2209">
        <f t="shared" si="7"/>
        <v>96217680</v>
      </c>
      <c r="I23" s="2209">
        <f t="shared" si="7"/>
        <v>24082320</v>
      </c>
      <c r="J23" s="2209">
        <f t="shared" si="7"/>
        <v>24054420</v>
      </c>
      <c r="K23" s="2209">
        <f t="shared" si="7"/>
        <v>27000</v>
      </c>
      <c r="L23" s="2204"/>
    </row>
    <row r="24" spans="1:12" s="2200" customFormat="1" ht="37.5" customHeight="1" thickBot="1">
      <c r="A24" s="2219"/>
      <c r="B24" s="2220"/>
      <c r="C24" s="2221"/>
      <c r="D24" s="2222" t="s">
        <v>2303</v>
      </c>
      <c r="E24" s="2223" t="s">
        <v>2304</v>
      </c>
      <c r="F24" s="2224">
        <v>120300000</v>
      </c>
      <c r="G24" s="2224">
        <v>120272100</v>
      </c>
      <c r="H24" s="2224">
        <v>96217680</v>
      </c>
      <c r="I24" s="2224">
        <v>24082320</v>
      </c>
      <c r="J24" s="2224">
        <v>24054420</v>
      </c>
      <c r="K24" s="2224">
        <v>27000</v>
      </c>
      <c r="L24" s="2225" t="s">
        <v>2305</v>
      </c>
    </row>
  </sheetData>
  <mergeCells count="17">
    <mergeCell ref="A19:D19"/>
    <mergeCell ref="I5:I6"/>
    <mergeCell ref="J5:J6"/>
    <mergeCell ref="K5:K6"/>
    <mergeCell ref="L5:L6"/>
    <mergeCell ref="A7:D7"/>
    <mergeCell ref="A8:D8"/>
    <mergeCell ref="A5:D5"/>
    <mergeCell ref="E5:E6"/>
    <mergeCell ref="F5:F6"/>
    <mergeCell ref="G5:G6"/>
    <mergeCell ref="H5:H6"/>
    <mergeCell ref="A1:L1"/>
    <mergeCell ref="I2:L2"/>
    <mergeCell ref="I3:L3"/>
    <mergeCell ref="A4:C4"/>
    <mergeCell ref="D4:E4"/>
  </mergeCells>
  <phoneticPr fontId="3" type="noConversion"/>
  <printOptions horizontalCentered="1"/>
  <pageMargins left="0.39370078740157483" right="0.28000000000000003" top="0.64" bottom="0.3" header="0.43" footer="7.874015748031496E-2"/>
  <pageSetup paperSize="9"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D8053-738E-4163-B98F-E7CB331BB84A}">
  <dimension ref="A1:K27"/>
  <sheetViews>
    <sheetView zoomScaleNormal="100" workbookViewId="0">
      <selection activeCell="J14" sqref="J14"/>
    </sheetView>
  </sheetViews>
  <sheetFormatPr defaultRowHeight="16.5"/>
  <cols>
    <col min="1" max="1" width="11.75" customWidth="1"/>
    <col min="2" max="2" width="14.125" customWidth="1"/>
  </cols>
  <sheetData>
    <row r="1" spans="1:11" ht="13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3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3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3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3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13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3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46.5">
      <c r="A8" s="4"/>
      <c r="B8" s="2239" t="s">
        <v>15</v>
      </c>
      <c r="C8" s="2239"/>
      <c r="D8" s="2239"/>
      <c r="E8" s="2239"/>
      <c r="F8" s="2239"/>
      <c r="G8" s="2239"/>
      <c r="H8" s="2239"/>
      <c r="I8" s="2239"/>
      <c r="J8" s="15"/>
      <c r="K8" s="16"/>
    </row>
    <row r="9" spans="1:11" ht="13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3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3.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3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3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3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3.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3.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3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13.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3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13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13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ht="13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ht="13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ht="13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ht="13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ht="13.5" customHeight="1"/>
    <row r="27" spans="1:11" ht="13.5" customHeight="1"/>
  </sheetData>
  <mergeCells count="1">
    <mergeCell ref="B8:I8"/>
  </mergeCells>
  <phoneticPr fontId="3" type="noConversion"/>
  <pageMargins left="0.94488188976377963" right="0.78740157480314965" top="0.6692913385826772" bottom="0.98425196850393704" header="0.51181102362204722" footer="0.5118110236220472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BAC2A-4DF4-45FF-BB66-F84AF9B4050F}">
  <dimension ref="A1:H33"/>
  <sheetViews>
    <sheetView zoomScaleNormal="100" workbookViewId="0">
      <selection activeCell="B20" sqref="B20"/>
    </sheetView>
  </sheetViews>
  <sheetFormatPr defaultRowHeight="16.5"/>
  <cols>
    <col min="1" max="1" width="20.125" customWidth="1"/>
    <col min="2" max="2" width="31.5" customWidth="1"/>
    <col min="3" max="3" width="10.125" customWidth="1"/>
    <col min="4" max="6" width="14.625" customWidth="1"/>
    <col min="7" max="7" width="14.625" style="17" customWidth="1"/>
  </cols>
  <sheetData>
    <row r="1" spans="1:7" ht="31.5" customHeight="1" thickBot="1">
      <c r="A1" s="2243" t="s">
        <v>16</v>
      </c>
      <c r="B1" s="2243"/>
      <c r="C1" s="2243"/>
      <c r="D1" s="2243"/>
      <c r="E1" s="2243"/>
      <c r="F1" s="2243"/>
      <c r="G1" s="2243"/>
    </row>
    <row r="2" spans="1:7" ht="17.25" customHeight="1" thickBot="1">
      <c r="A2" s="2244" t="s">
        <v>17</v>
      </c>
      <c r="B2" s="2245"/>
      <c r="C2" s="18" t="s">
        <v>18</v>
      </c>
      <c r="D2" s="34" t="s">
        <v>19</v>
      </c>
      <c r="E2" s="19" t="s">
        <v>20</v>
      </c>
      <c r="F2" s="20" t="s">
        <v>21</v>
      </c>
      <c r="G2" s="35" t="s">
        <v>22</v>
      </c>
    </row>
    <row r="3" spans="1:7" ht="13.5" customHeight="1">
      <c r="A3" s="2240" t="s">
        <v>23</v>
      </c>
      <c r="B3" s="36" t="s">
        <v>24</v>
      </c>
      <c r="C3" s="40" t="s">
        <v>29</v>
      </c>
      <c r="D3" s="31">
        <v>36</v>
      </c>
      <c r="E3" s="31">
        <v>33</v>
      </c>
      <c r="F3" s="31">
        <f>D3-E3</f>
        <v>3</v>
      </c>
      <c r="G3" s="59" t="s">
        <v>30</v>
      </c>
    </row>
    <row r="4" spans="1:7" ht="13.5" customHeight="1">
      <c r="A4" s="2241"/>
      <c r="B4" s="37" t="s">
        <v>25</v>
      </c>
      <c r="C4" s="41" t="s">
        <v>29</v>
      </c>
      <c r="D4" s="28">
        <v>1</v>
      </c>
      <c r="E4" s="28">
        <v>1</v>
      </c>
      <c r="F4" s="28">
        <f t="shared" ref="F4:F7" si="0">D4-E4</f>
        <v>0</v>
      </c>
      <c r="G4" s="53"/>
    </row>
    <row r="5" spans="1:7" ht="13.5" customHeight="1">
      <c r="A5" s="2241"/>
      <c r="B5" s="38" t="s">
        <v>26</v>
      </c>
      <c r="C5" s="42" t="s">
        <v>29</v>
      </c>
      <c r="D5" s="32">
        <v>2</v>
      </c>
      <c r="E5" s="32">
        <v>2</v>
      </c>
      <c r="F5" s="32">
        <f t="shared" si="0"/>
        <v>0</v>
      </c>
      <c r="G5" s="54" t="s">
        <v>67</v>
      </c>
    </row>
    <row r="6" spans="1:7" ht="13.5" customHeight="1">
      <c r="A6" s="2241"/>
      <c r="B6" s="37" t="s">
        <v>27</v>
      </c>
      <c r="C6" s="41" t="s">
        <v>29</v>
      </c>
      <c r="D6" s="28">
        <v>1</v>
      </c>
      <c r="E6" s="28">
        <v>1</v>
      </c>
      <c r="F6" s="28">
        <f t="shared" si="0"/>
        <v>0</v>
      </c>
      <c r="G6" s="53"/>
    </row>
    <row r="7" spans="1:7" ht="13.5" customHeight="1" thickBot="1">
      <c r="A7" s="2242"/>
      <c r="B7" s="39" t="s">
        <v>28</v>
      </c>
      <c r="C7" s="43" t="s">
        <v>29</v>
      </c>
      <c r="D7" s="33">
        <v>3</v>
      </c>
      <c r="E7" s="33">
        <v>3</v>
      </c>
      <c r="F7" s="33">
        <f t="shared" si="0"/>
        <v>0</v>
      </c>
      <c r="G7" s="55" t="s">
        <v>66</v>
      </c>
    </row>
    <row r="8" spans="1:7" ht="13.5" customHeight="1">
      <c r="A8" s="2240" t="s">
        <v>31</v>
      </c>
      <c r="B8" s="36" t="s">
        <v>32</v>
      </c>
      <c r="C8" s="42" t="s">
        <v>63</v>
      </c>
      <c r="D8" s="26" t="s">
        <v>74</v>
      </c>
      <c r="E8" s="70" t="s">
        <v>74</v>
      </c>
      <c r="F8" s="36"/>
      <c r="G8" s="54"/>
    </row>
    <row r="9" spans="1:7" ht="13.5" customHeight="1">
      <c r="A9" s="2241"/>
      <c r="B9" s="37" t="s">
        <v>33</v>
      </c>
      <c r="C9" s="41" t="s">
        <v>61</v>
      </c>
      <c r="D9" s="37">
        <f>E9*1.1</f>
        <v>2305.6000000000004</v>
      </c>
      <c r="E9" s="62">
        <v>2096</v>
      </c>
      <c r="F9" s="52">
        <f>D9-E9</f>
        <v>209.60000000000036</v>
      </c>
      <c r="G9" s="53"/>
    </row>
    <row r="10" spans="1:7" ht="13.5" customHeight="1">
      <c r="A10" s="2241"/>
      <c r="B10" s="38" t="s">
        <v>34</v>
      </c>
      <c r="C10" s="42" t="s">
        <v>61</v>
      </c>
      <c r="D10" s="37">
        <f t="shared" ref="D10:D13" si="1">E10*1.1</f>
        <v>430.1</v>
      </c>
      <c r="E10" s="63">
        <v>391</v>
      </c>
      <c r="F10" s="52">
        <f t="shared" ref="F10:F33" si="2">D10-E10</f>
        <v>39.100000000000023</v>
      </c>
      <c r="G10" s="54"/>
    </row>
    <row r="11" spans="1:7" ht="13.5" customHeight="1">
      <c r="A11" s="2241"/>
      <c r="B11" s="37" t="s">
        <v>35</v>
      </c>
      <c r="C11" s="41" t="s">
        <v>61</v>
      </c>
      <c r="D11" s="37">
        <f t="shared" si="1"/>
        <v>7251.2000000000007</v>
      </c>
      <c r="E11" s="62">
        <v>6592</v>
      </c>
      <c r="F11" s="52">
        <f t="shared" si="2"/>
        <v>659.20000000000073</v>
      </c>
      <c r="G11" s="53"/>
    </row>
    <row r="12" spans="1:7" ht="13.5" customHeight="1">
      <c r="A12" s="2241"/>
      <c r="B12" s="37" t="s">
        <v>36</v>
      </c>
      <c r="C12" s="41" t="s">
        <v>61</v>
      </c>
      <c r="D12" s="37">
        <f t="shared" si="1"/>
        <v>1652.2</v>
      </c>
      <c r="E12" s="62">
        <v>1502</v>
      </c>
      <c r="F12" s="52">
        <f t="shared" si="2"/>
        <v>150.20000000000005</v>
      </c>
      <c r="G12" s="53"/>
    </row>
    <row r="13" spans="1:7" ht="13.5" customHeight="1" thickBot="1">
      <c r="A13" s="2242"/>
      <c r="B13" s="39" t="s">
        <v>37</v>
      </c>
      <c r="C13" s="43" t="s">
        <v>61</v>
      </c>
      <c r="D13" s="44">
        <f t="shared" si="1"/>
        <v>16.5</v>
      </c>
      <c r="E13" s="64">
        <v>15</v>
      </c>
      <c r="F13" s="69">
        <f t="shared" si="2"/>
        <v>1.5</v>
      </c>
      <c r="G13" s="55"/>
    </row>
    <row r="14" spans="1:7" ht="13.5" customHeight="1">
      <c r="A14" s="2240" t="s">
        <v>38</v>
      </c>
      <c r="B14" s="38" t="s">
        <v>39</v>
      </c>
      <c r="C14" s="42" t="s">
        <v>64</v>
      </c>
      <c r="D14" s="2120">
        <f>'가. 수입예산 총괄표(사업수익+자본적수입)'!F11+'가. 수입예산 총괄표(사업수익+자본적수입)'!F34</f>
        <v>1504331</v>
      </c>
      <c r="E14" s="63">
        <v>1727711</v>
      </c>
      <c r="F14" s="67">
        <f t="shared" si="2"/>
        <v>-223380</v>
      </c>
      <c r="G14" s="54"/>
    </row>
    <row r="15" spans="1:7" ht="13.5" customHeight="1">
      <c r="A15" s="2241"/>
      <c r="B15" s="44" t="s">
        <v>40</v>
      </c>
      <c r="C15" s="45" t="s">
        <v>64</v>
      </c>
      <c r="D15" s="2121">
        <f>'가. 수입예산 총괄표(사업수익+자본적수입)'!F12+'가. 수입예산 총괄표(사업수익+자본적수입)'!F35</f>
        <v>165485</v>
      </c>
      <c r="E15" s="65">
        <v>168033</v>
      </c>
      <c r="F15" s="52">
        <f t="shared" si="2"/>
        <v>-2548</v>
      </c>
      <c r="G15" s="56"/>
    </row>
    <row r="16" spans="1:7" ht="13.5" customHeight="1">
      <c r="A16" s="2241"/>
      <c r="B16" s="37" t="s">
        <v>41</v>
      </c>
      <c r="C16" s="41" t="s">
        <v>64</v>
      </c>
      <c r="D16" s="2122">
        <f>'가. 수입예산 총괄표(사업수익+자본적수입)'!F13+'가. 수입예산 총괄표(사업수익+자본적수입)'!F36</f>
        <v>320319</v>
      </c>
      <c r="E16" s="62">
        <v>299424</v>
      </c>
      <c r="F16" s="52">
        <f t="shared" si="2"/>
        <v>20895</v>
      </c>
      <c r="G16" s="53"/>
    </row>
    <row r="17" spans="1:8" ht="13.5" customHeight="1">
      <c r="A17" s="2241"/>
      <c r="B17" s="46" t="s">
        <v>42</v>
      </c>
      <c r="C17" s="47" t="s">
        <v>64</v>
      </c>
      <c r="D17" s="2123">
        <f>'가. 수입예산 총괄표(사업수익+자본적수입)'!F14+'가. 수입예산 총괄표(사업수익+자본적수입)'!F37</f>
        <v>200000</v>
      </c>
      <c r="E17" s="66">
        <v>200000</v>
      </c>
      <c r="F17" s="52">
        <f t="shared" si="2"/>
        <v>0</v>
      </c>
      <c r="G17" s="57"/>
    </row>
    <row r="18" spans="1:8" ht="13.5" customHeight="1">
      <c r="A18" s="2241"/>
      <c r="B18" s="38" t="s">
        <v>43</v>
      </c>
      <c r="C18" s="42" t="s">
        <v>64</v>
      </c>
      <c r="D18" s="2123">
        <f>'가. 수입예산 총괄표(사업수익+자본적수입)'!F15+'가. 수입예산 총괄표(사업수익+자본적수입)'!F38</f>
        <v>23175444</v>
      </c>
      <c r="E18" s="63">
        <v>22246757</v>
      </c>
      <c r="F18" s="52">
        <f t="shared" si="2"/>
        <v>928687</v>
      </c>
      <c r="G18" s="54"/>
    </row>
    <row r="19" spans="1:8" ht="13.5" customHeight="1">
      <c r="A19" s="2241"/>
      <c r="B19" s="37" t="s">
        <v>44</v>
      </c>
      <c r="C19" s="41" t="s">
        <v>64</v>
      </c>
      <c r="D19" s="2122">
        <f>'가. 수입예산 총괄표(사업수익+자본적수입)'!F16+'가. 수입예산 총괄표(사업수익+자본적수입)'!F39</f>
        <v>105943</v>
      </c>
      <c r="E19" s="62">
        <v>100803</v>
      </c>
      <c r="F19" s="52">
        <f t="shared" si="2"/>
        <v>5140</v>
      </c>
      <c r="G19" s="53"/>
    </row>
    <row r="20" spans="1:8" ht="13.5" customHeight="1">
      <c r="A20" s="2241"/>
      <c r="B20" s="38" t="s">
        <v>45</v>
      </c>
      <c r="C20" s="42" t="s">
        <v>64</v>
      </c>
      <c r="D20" s="2124">
        <f>'가. 수입예산 총괄표(사업수익+자본적수입)'!F17+'가. 수입예산 총괄표(사업수익+자본적수입)'!F40</f>
        <v>1221194</v>
      </c>
      <c r="E20" s="63">
        <v>1024056</v>
      </c>
      <c r="F20" s="52">
        <f t="shared" si="2"/>
        <v>197138</v>
      </c>
      <c r="G20" s="54"/>
    </row>
    <row r="21" spans="1:8" ht="13.5" customHeight="1">
      <c r="A21" s="2241"/>
      <c r="B21" s="37" t="s">
        <v>46</v>
      </c>
      <c r="C21" s="41" t="s">
        <v>64</v>
      </c>
      <c r="D21" s="2122">
        <f>'가. 수입예산 총괄표(사업수익+자본적수입)'!F18+'가. 수입예산 총괄표(사업수익+자본적수입)'!F41</f>
        <v>817270</v>
      </c>
      <c r="E21" s="62">
        <v>749287</v>
      </c>
      <c r="F21" s="52">
        <f t="shared" si="2"/>
        <v>67983</v>
      </c>
      <c r="G21" s="53"/>
    </row>
    <row r="22" spans="1:8" ht="13.5" customHeight="1">
      <c r="A22" s="2241"/>
      <c r="B22" s="38" t="s">
        <v>47</v>
      </c>
      <c r="C22" s="42" t="s">
        <v>64</v>
      </c>
      <c r="D22" s="2124">
        <f>'가. 수입예산 총괄표(사업수익+자본적수입)'!F19+'가. 수입예산 총괄표(사업수익+자본적수입)'!F42</f>
        <v>259130</v>
      </c>
      <c r="E22" s="63">
        <v>225039</v>
      </c>
      <c r="F22" s="52">
        <f t="shared" si="2"/>
        <v>34091</v>
      </c>
      <c r="G22" s="54"/>
    </row>
    <row r="23" spans="1:8" ht="13.5" customHeight="1">
      <c r="A23" s="2241"/>
      <c r="B23" s="37" t="s">
        <v>48</v>
      </c>
      <c r="C23" s="41" t="s">
        <v>64</v>
      </c>
      <c r="D23" s="2122">
        <f>'가. 수입예산 총괄표(사업수익+자본적수입)'!F20+'가. 수입예산 총괄표(사업수익+자본적수입)'!F43</f>
        <v>750000</v>
      </c>
      <c r="E23" s="62">
        <v>0</v>
      </c>
      <c r="F23" s="52">
        <f t="shared" si="2"/>
        <v>750000</v>
      </c>
      <c r="G23" s="53"/>
    </row>
    <row r="24" spans="1:8" ht="13.5" customHeight="1" thickBot="1">
      <c r="A24" s="2242"/>
      <c r="B24" s="39" t="s">
        <v>49</v>
      </c>
      <c r="C24" s="43" t="s">
        <v>64</v>
      </c>
      <c r="D24" s="2125">
        <f>'가. 수입예산 총괄표(사업수익+자본적수입)'!F21+'가. 수입예산 총괄표(사업수익+자본적수입)'!F44</f>
        <v>4609094</v>
      </c>
      <c r="E24" s="64">
        <v>3808188</v>
      </c>
      <c r="F24" s="68">
        <f t="shared" si="2"/>
        <v>800906</v>
      </c>
      <c r="G24" s="55"/>
    </row>
    <row r="25" spans="1:8" ht="13.5" customHeight="1">
      <c r="A25" s="2240" t="s">
        <v>51</v>
      </c>
      <c r="B25" s="48" t="s">
        <v>50</v>
      </c>
      <c r="C25" s="49" t="s">
        <v>2266</v>
      </c>
      <c r="D25" s="50">
        <v>503</v>
      </c>
      <c r="E25" s="50">
        <v>485</v>
      </c>
      <c r="F25" s="50">
        <f t="shared" si="2"/>
        <v>18</v>
      </c>
      <c r="G25" s="58"/>
    </row>
    <row r="26" spans="1:8" ht="13.5" customHeight="1">
      <c r="A26" s="2241"/>
      <c r="B26" s="38" t="s">
        <v>53</v>
      </c>
      <c r="C26" s="42" t="s">
        <v>62</v>
      </c>
      <c r="D26" s="38">
        <v>3</v>
      </c>
      <c r="E26" s="38">
        <v>3</v>
      </c>
      <c r="F26" s="37">
        <f t="shared" si="2"/>
        <v>0</v>
      </c>
      <c r="G26" s="54" t="s">
        <v>65</v>
      </c>
    </row>
    <row r="27" spans="1:8" ht="13.5" customHeight="1">
      <c r="A27" s="2241"/>
      <c r="B27" s="37" t="s">
        <v>52</v>
      </c>
      <c r="C27" s="41" t="s">
        <v>62</v>
      </c>
      <c r="D27" s="37">
        <v>51</v>
      </c>
      <c r="E27" s="37">
        <v>48</v>
      </c>
      <c r="F27" s="37">
        <f t="shared" si="2"/>
        <v>3</v>
      </c>
      <c r="G27" s="53"/>
      <c r="H27" t="s">
        <v>69</v>
      </c>
    </row>
    <row r="28" spans="1:8" ht="13.5" customHeight="1">
      <c r="A28" s="2241"/>
      <c r="B28" s="44" t="s">
        <v>54</v>
      </c>
      <c r="C28" s="45" t="s">
        <v>62</v>
      </c>
      <c r="D28" s="44">
        <v>30</v>
      </c>
      <c r="E28" s="44">
        <v>30</v>
      </c>
      <c r="F28" s="37">
        <f t="shared" si="2"/>
        <v>0</v>
      </c>
      <c r="G28" s="56"/>
    </row>
    <row r="29" spans="1:8" ht="13.5" customHeight="1">
      <c r="A29" s="2241"/>
      <c r="B29" s="37" t="s">
        <v>55</v>
      </c>
      <c r="C29" s="41" t="s">
        <v>62</v>
      </c>
      <c r="D29" s="37">
        <v>275</v>
      </c>
      <c r="E29" s="37">
        <v>274</v>
      </c>
      <c r="F29" s="37">
        <f t="shared" si="2"/>
        <v>1</v>
      </c>
      <c r="G29" s="60" t="s">
        <v>70</v>
      </c>
    </row>
    <row r="30" spans="1:8" ht="13.5" customHeight="1">
      <c r="A30" s="2241"/>
      <c r="B30" s="46" t="s">
        <v>56</v>
      </c>
      <c r="C30" s="47" t="s">
        <v>62</v>
      </c>
      <c r="D30" s="46">
        <v>95</v>
      </c>
      <c r="E30" s="46">
        <v>98</v>
      </c>
      <c r="F30" s="52">
        <f t="shared" si="2"/>
        <v>-3</v>
      </c>
      <c r="G30" s="60" t="s">
        <v>71</v>
      </c>
      <c r="H30" t="s">
        <v>68</v>
      </c>
    </row>
    <row r="31" spans="1:8" ht="13.5" customHeight="1">
      <c r="A31" s="2241"/>
      <c r="B31" s="37" t="s">
        <v>57</v>
      </c>
      <c r="C31" s="41" t="s">
        <v>62</v>
      </c>
      <c r="D31" s="37">
        <v>1</v>
      </c>
      <c r="E31" s="37">
        <v>2</v>
      </c>
      <c r="F31" s="52">
        <f t="shared" si="2"/>
        <v>-1</v>
      </c>
      <c r="G31" s="60" t="s">
        <v>72</v>
      </c>
    </row>
    <row r="32" spans="1:8" ht="13.5" customHeight="1" thickBot="1">
      <c r="A32" s="2242"/>
      <c r="B32" s="39" t="s">
        <v>58</v>
      </c>
      <c r="C32" s="43" t="s">
        <v>62</v>
      </c>
      <c r="D32" s="39">
        <v>48</v>
      </c>
      <c r="E32" s="39">
        <v>30</v>
      </c>
      <c r="F32" s="44">
        <f t="shared" si="2"/>
        <v>18</v>
      </c>
      <c r="G32" s="61" t="s">
        <v>73</v>
      </c>
    </row>
    <row r="33" spans="1:7" ht="13.5" customHeight="1" thickBot="1">
      <c r="A33" s="27" t="s">
        <v>59</v>
      </c>
      <c r="B33" s="39" t="s">
        <v>60</v>
      </c>
      <c r="C33" s="43" t="s">
        <v>61</v>
      </c>
      <c r="D33" s="39">
        <v>500</v>
      </c>
      <c r="E33" s="39">
        <v>500</v>
      </c>
      <c r="F33" s="51">
        <f t="shared" si="2"/>
        <v>0</v>
      </c>
      <c r="G33" s="55"/>
    </row>
  </sheetData>
  <mergeCells count="6">
    <mergeCell ref="A25:A32"/>
    <mergeCell ref="A1:G1"/>
    <mergeCell ref="A2:B2"/>
    <mergeCell ref="A3:A7"/>
    <mergeCell ref="A8:A13"/>
    <mergeCell ref="A14:A24"/>
  </mergeCells>
  <phoneticPr fontId="3" type="noConversion"/>
  <pageMargins left="0.94488188976377963" right="0.78740157480314965" top="0.6692913385826772" bottom="0.98425196850393704" header="0.51181102362204722" footer="0.51181102362204722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56EBF-6BEF-4210-956B-177038D0BA7C}">
  <dimension ref="A1:K19"/>
  <sheetViews>
    <sheetView zoomScaleNormal="100" workbookViewId="0">
      <selection activeCell="J14" sqref="J14"/>
    </sheetView>
  </sheetViews>
  <sheetFormatPr defaultRowHeight="16.5"/>
  <cols>
    <col min="1" max="1" width="26.875" customWidth="1"/>
    <col min="2" max="2" width="8.25" customWidth="1"/>
  </cols>
  <sheetData>
    <row r="1" spans="1:11" ht="13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3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43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3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3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13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3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3.5" customHeight="1">
      <c r="A8" s="4"/>
      <c r="B8" s="4"/>
      <c r="C8" s="15"/>
      <c r="D8" s="15"/>
      <c r="E8" s="15"/>
      <c r="F8" s="15"/>
      <c r="G8" s="15"/>
      <c r="H8" s="15"/>
      <c r="I8" s="4"/>
      <c r="J8" s="4"/>
      <c r="K8" s="4"/>
    </row>
    <row r="9" spans="1:11" ht="46.5" customHeight="1">
      <c r="A9" s="4"/>
      <c r="B9" s="4"/>
      <c r="C9" s="2239" t="s">
        <v>75</v>
      </c>
      <c r="D9" s="2239"/>
      <c r="E9" s="2239"/>
      <c r="F9" s="2239"/>
      <c r="G9" s="2239"/>
      <c r="H9" s="2239"/>
      <c r="I9" s="71"/>
      <c r="J9" s="4"/>
      <c r="K9" s="4"/>
    </row>
    <row r="10" spans="1:11" ht="13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3.5" customHeight="1">
      <c r="A11" s="72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3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46.5" customHeight="1">
      <c r="A13" s="4"/>
      <c r="B13" s="4"/>
      <c r="C13" s="15"/>
      <c r="D13" s="15"/>
      <c r="E13" s="15"/>
      <c r="F13" s="15"/>
      <c r="G13" s="15"/>
      <c r="H13" s="15"/>
      <c r="I13" s="71"/>
      <c r="J13" s="71"/>
      <c r="K13" s="71"/>
    </row>
    <row r="14" spans="1:11" ht="13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29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3.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3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13.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30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</sheetData>
  <mergeCells count="1">
    <mergeCell ref="C9:H9"/>
  </mergeCells>
  <phoneticPr fontId="3" type="noConversion"/>
  <pageMargins left="0.94488188976377963" right="0.78740157480314965" top="0.6692913385826772" bottom="0.98425196850393704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51FD-F909-4DB1-8CA4-9E406290DA1E}">
  <dimension ref="A1:D51"/>
  <sheetViews>
    <sheetView zoomScaleNormal="100" workbookViewId="0">
      <selection activeCell="J14" sqref="J14"/>
    </sheetView>
  </sheetViews>
  <sheetFormatPr defaultRowHeight="16.5"/>
  <cols>
    <col min="1" max="1" width="31.75" customWidth="1"/>
    <col min="2" max="2" width="29.5" customWidth="1"/>
    <col min="3" max="3" width="32.375" customWidth="1"/>
    <col min="4" max="4" width="30" customWidth="1"/>
  </cols>
  <sheetData>
    <row r="1" spans="1:4" ht="25.5" customHeight="1">
      <c r="A1" s="2246" t="s">
        <v>125</v>
      </c>
      <c r="B1" s="2246"/>
      <c r="C1" s="2246"/>
      <c r="D1" s="2246"/>
    </row>
    <row r="2" spans="1:4" ht="8.25" customHeight="1"/>
    <row r="3" spans="1:4" ht="23.25" customHeight="1">
      <c r="A3" s="78" t="s">
        <v>82</v>
      </c>
      <c r="B3" s="79"/>
      <c r="C3" s="78"/>
      <c r="D3" s="79"/>
    </row>
    <row r="4" spans="1:4" ht="23.25" customHeight="1">
      <c r="A4" s="78" t="s">
        <v>83</v>
      </c>
      <c r="B4" s="79"/>
      <c r="C4" s="78"/>
      <c r="D4" s="79"/>
    </row>
    <row r="5" spans="1:4" ht="14.25" customHeight="1" thickBot="1">
      <c r="A5" s="73"/>
      <c r="B5" s="74"/>
      <c r="C5" s="73"/>
      <c r="D5" s="80" t="s">
        <v>980</v>
      </c>
    </row>
    <row r="6" spans="1:4" ht="19.7" customHeight="1" thickBot="1">
      <c r="A6" s="2252" t="s">
        <v>84</v>
      </c>
      <c r="B6" s="2253"/>
      <c r="C6" s="2254" t="s">
        <v>85</v>
      </c>
      <c r="D6" s="2255"/>
    </row>
    <row r="7" spans="1:4" ht="19.7" customHeight="1">
      <c r="A7" s="81" t="s">
        <v>86</v>
      </c>
      <c r="B7" s="82" t="s">
        <v>87</v>
      </c>
      <c r="C7" s="83" t="s">
        <v>86</v>
      </c>
      <c r="D7" s="84" t="s">
        <v>87</v>
      </c>
    </row>
    <row r="8" spans="1:4" ht="19.7" customHeight="1">
      <c r="A8" s="100" t="s">
        <v>88</v>
      </c>
      <c r="B8" s="2107">
        <f>B9+B16+B26</f>
        <v>51171596</v>
      </c>
      <c r="C8" s="101" t="s">
        <v>88</v>
      </c>
      <c r="D8" s="2111">
        <f>D9+D16</f>
        <v>51171596</v>
      </c>
    </row>
    <row r="9" spans="1:4" ht="19.7" customHeight="1">
      <c r="A9" s="87" t="s">
        <v>89</v>
      </c>
      <c r="B9" s="2108">
        <f>B10</f>
        <v>47061935</v>
      </c>
      <c r="C9" s="93" t="s">
        <v>89</v>
      </c>
      <c r="D9" s="2112">
        <f>D10</f>
        <v>47061935</v>
      </c>
    </row>
    <row r="10" spans="1:4" ht="19.7" customHeight="1">
      <c r="A10" s="88" t="s">
        <v>90</v>
      </c>
      <c r="B10" s="2106">
        <f>SUM(B11:B13)</f>
        <v>47061935</v>
      </c>
      <c r="C10" s="94" t="s">
        <v>94</v>
      </c>
      <c r="D10" s="2113">
        <f>SUM(D11:D14)</f>
        <v>47061935</v>
      </c>
    </row>
    <row r="11" spans="1:4" ht="19.7" customHeight="1">
      <c r="A11" s="88" t="s">
        <v>91</v>
      </c>
      <c r="B11" s="2106">
        <f>'예산총괄표 3장'!C7</f>
        <v>47061935</v>
      </c>
      <c r="C11" s="94" t="s">
        <v>95</v>
      </c>
      <c r="D11" s="2113">
        <f>'예산총괄표 3장'!C13</f>
        <v>2152535</v>
      </c>
    </row>
    <row r="12" spans="1:4" ht="19.7" customHeight="1">
      <c r="A12" s="88" t="s">
        <v>92</v>
      </c>
      <c r="B12" s="2106">
        <f>'예산총괄표 3장'!C8</f>
        <v>0</v>
      </c>
      <c r="C12" s="94" t="s">
        <v>96</v>
      </c>
      <c r="D12" s="2113">
        <f>'예산총괄표 3장'!C14</f>
        <v>2905694</v>
      </c>
    </row>
    <row r="13" spans="1:4" ht="19.7" customHeight="1">
      <c r="A13" s="88" t="s">
        <v>93</v>
      </c>
      <c r="B13" s="2106">
        <v>0</v>
      </c>
      <c r="C13" s="94" t="s">
        <v>97</v>
      </c>
      <c r="D13" s="2113">
        <f>'예산총괄표 3장'!C15</f>
        <v>24461672</v>
      </c>
    </row>
    <row r="14" spans="1:4" ht="19.7" customHeight="1">
      <c r="A14" s="88"/>
      <c r="B14" s="2106"/>
      <c r="C14" s="94" t="s">
        <v>98</v>
      </c>
      <c r="D14" s="2113">
        <f>'예산총괄표 3장'!C16</f>
        <v>17542034</v>
      </c>
    </row>
    <row r="15" spans="1:4" ht="19.7" customHeight="1">
      <c r="A15" s="89"/>
      <c r="B15" s="2109"/>
      <c r="C15" s="95"/>
      <c r="D15" s="2114"/>
    </row>
    <row r="16" spans="1:4" ht="19.7" customHeight="1">
      <c r="A16" s="86" t="s">
        <v>99</v>
      </c>
      <c r="B16" s="2108">
        <f>B17</f>
        <v>4109661</v>
      </c>
      <c r="C16" s="96" t="s">
        <v>99</v>
      </c>
      <c r="D16" s="2112">
        <f>D17</f>
        <v>4109661</v>
      </c>
    </row>
    <row r="17" spans="1:4" ht="19.7" customHeight="1">
      <c r="A17" s="90" t="s">
        <v>100</v>
      </c>
      <c r="B17" s="2106">
        <f>SUM(B18:B25)</f>
        <v>4109661</v>
      </c>
      <c r="C17" s="97" t="s">
        <v>109</v>
      </c>
      <c r="D17" s="2113">
        <f>SUM(D18:D22)</f>
        <v>4109661</v>
      </c>
    </row>
    <row r="18" spans="1:4" ht="19.7" customHeight="1">
      <c r="A18" s="90" t="s">
        <v>101</v>
      </c>
      <c r="B18" s="2106">
        <v>0</v>
      </c>
      <c r="C18" s="97" t="s">
        <v>110</v>
      </c>
      <c r="D18" s="2113">
        <f>'예산총괄표 3장'!E13</f>
        <v>37600</v>
      </c>
    </row>
    <row r="19" spans="1:4" ht="19.7" customHeight="1">
      <c r="A19" s="90" t="s">
        <v>102</v>
      </c>
      <c r="B19" s="2106">
        <v>0</v>
      </c>
      <c r="C19" s="97" t="s">
        <v>111</v>
      </c>
      <c r="D19" s="2113">
        <f>'예산총괄표 3장'!E14</f>
        <v>141900</v>
      </c>
    </row>
    <row r="20" spans="1:4" ht="19.7" customHeight="1">
      <c r="A20" s="90" t="s">
        <v>103</v>
      </c>
      <c r="B20" s="2106">
        <v>0</v>
      </c>
      <c r="C20" s="97" t="s">
        <v>112</v>
      </c>
      <c r="D20" s="2113">
        <f>'예산총괄표 3장'!E15</f>
        <v>3428809</v>
      </c>
    </row>
    <row r="21" spans="1:4" ht="19.7" customHeight="1">
      <c r="A21" s="90" t="s">
        <v>104</v>
      </c>
      <c r="B21" s="2106">
        <v>0</v>
      </c>
      <c r="C21" s="97" t="s">
        <v>113</v>
      </c>
      <c r="D21" s="2113">
        <f>'예산총괄표 3장'!E16</f>
        <v>1352</v>
      </c>
    </row>
    <row r="22" spans="1:4" ht="19.7" customHeight="1">
      <c r="A22" s="90" t="s">
        <v>105</v>
      </c>
      <c r="B22" s="2106">
        <v>0</v>
      </c>
      <c r="C22" s="97" t="s">
        <v>114</v>
      </c>
      <c r="D22" s="2113">
        <f>'예산총괄표 3장'!E18</f>
        <v>500000</v>
      </c>
    </row>
    <row r="23" spans="1:4" ht="19.7" customHeight="1">
      <c r="A23" s="90" t="s">
        <v>106</v>
      </c>
      <c r="B23" s="2106">
        <f>'3-2. 자본예산총괄표'!C17</f>
        <v>3609661</v>
      </c>
      <c r="C23" s="97"/>
      <c r="D23" s="2113"/>
    </row>
    <row r="24" spans="1:4" ht="19.7" customHeight="1">
      <c r="A24" s="90" t="s">
        <v>107</v>
      </c>
      <c r="B24" s="2106">
        <f>'3-2. 자본예산총괄표'!C21</f>
        <v>500000</v>
      </c>
      <c r="C24" s="97"/>
      <c r="D24" s="2113"/>
    </row>
    <row r="25" spans="1:4" ht="19.7" customHeight="1">
      <c r="A25" s="91" t="s">
        <v>108</v>
      </c>
      <c r="B25" s="2109">
        <v>0</v>
      </c>
      <c r="C25" s="98"/>
      <c r="D25" s="2114"/>
    </row>
    <row r="26" spans="1:4" ht="19.7" customHeight="1">
      <c r="A26" s="86" t="s">
        <v>99</v>
      </c>
      <c r="B26" s="2108">
        <f>B27</f>
        <v>0</v>
      </c>
      <c r="C26" s="96" t="s">
        <v>99</v>
      </c>
      <c r="D26" s="2112"/>
    </row>
    <row r="27" spans="1:4" ht="19.7" customHeight="1">
      <c r="A27" s="90" t="s">
        <v>115</v>
      </c>
      <c r="B27" s="2106">
        <f>SUM(B28:B29)</f>
        <v>0</v>
      </c>
      <c r="C27" s="94"/>
      <c r="D27" s="2113"/>
    </row>
    <row r="28" spans="1:4" ht="19.7" customHeight="1">
      <c r="A28" s="90" t="s">
        <v>116</v>
      </c>
      <c r="B28" s="2106">
        <v>0</v>
      </c>
      <c r="C28" s="94"/>
      <c r="D28" s="2113"/>
    </row>
    <row r="29" spans="1:4" ht="19.7" customHeight="1" thickBot="1">
      <c r="A29" s="92" t="s">
        <v>117</v>
      </c>
      <c r="B29" s="2110">
        <v>0</v>
      </c>
      <c r="C29" s="99"/>
      <c r="D29" s="2115"/>
    </row>
    <row r="30" spans="1:4" ht="33" customHeight="1" thickBot="1">
      <c r="A30" s="12" t="s">
        <v>118</v>
      </c>
    </row>
    <row r="31" spans="1:4" ht="32.25" customHeight="1">
      <c r="A31" s="2256" t="s">
        <v>119</v>
      </c>
      <c r="B31" s="2257"/>
      <c r="C31" s="2258" t="s">
        <v>120</v>
      </c>
      <c r="D31" s="2259"/>
    </row>
    <row r="32" spans="1:4" ht="32.25" customHeight="1">
      <c r="A32" s="102" t="s">
        <v>121</v>
      </c>
      <c r="B32" s="105" t="s">
        <v>122</v>
      </c>
      <c r="C32" s="104" t="s">
        <v>123</v>
      </c>
      <c r="D32" s="103" t="s">
        <v>124</v>
      </c>
    </row>
    <row r="33" spans="1:4" ht="32.25" customHeight="1" thickBot="1">
      <c r="A33" s="2116" t="str">
        <f>TEXT(B8,"#,##0")&amp;"천원"</f>
        <v>51,171,596천원</v>
      </c>
      <c r="B33" s="2117" t="str">
        <f>TEXT(B8,"#,##0")&amp;"천원"</f>
        <v>51,171,596천원</v>
      </c>
      <c r="C33" s="2118" t="str">
        <f>TEXT(D8,"#,##0")&amp;"천원"</f>
        <v>51,171,596천원</v>
      </c>
      <c r="D33" s="2119" t="str">
        <f>TEXT(D8,"#,##0")&amp;"천원"</f>
        <v>51,171,596천원</v>
      </c>
    </row>
    <row r="34" spans="1:4" ht="16.5" customHeight="1"/>
    <row r="35" spans="1:4" ht="16.5" customHeight="1">
      <c r="A35" s="73" t="s">
        <v>76</v>
      </c>
      <c r="B35" s="74"/>
      <c r="C35" s="73"/>
      <c r="D35" s="74"/>
    </row>
    <row r="36" spans="1:4" ht="16.5" customHeight="1">
      <c r="A36" s="73" t="s">
        <v>77</v>
      </c>
      <c r="B36" s="74"/>
      <c r="C36" s="73"/>
      <c r="D36" s="74"/>
    </row>
    <row r="37" spans="1:4" ht="16.5" customHeight="1">
      <c r="A37" s="73" t="s">
        <v>78</v>
      </c>
      <c r="B37" s="74"/>
      <c r="C37" s="73"/>
      <c r="D37" s="74"/>
    </row>
    <row r="38" spans="1:4" ht="16.5" customHeight="1">
      <c r="A38" s="73" t="s">
        <v>79</v>
      </c>
      <c r="B38" s="74"/>
      <c r="C38" s="73"/>
      <c r="D38" s="74"/>
    </row>
    <row r="39" spans="1:4" ht="16.5" customHeight="1">
      <c r="A39" s="2247" t="s">
        <v>80</v>
      </c>
      <c r="B39" s="2247"/>
      <c r="C39" s="2247"/>
      <c r="D39" s="2247"/>
    </row>
    <row r="40" spans="1:4" ht="16.5" customHeight="1">
      <c r="A40" s="2247"/>
      <c r="B40" s="2247"/>
      <c r="C40" s="2247"/>
      <c r="D40" s="2247"/>
    </row>
    <row r="41" spans="1:4" ht="16.5" customHeight="1">
      <c r="A41" s="2248"/>
      <c r="B41" s="2248"/>
      <c r="C41" s="2248"/>
      <c r="D41" s="2248"/>
    </row>
    <row r="42" spans="1:4" ht="16.5" customHeight="1">
      <c r="A42" s="75"/>
      <c r="B42" s="75"/>
      <c r="C42" s="75"/>
      <c r="D42" s="75"/>
    </row>
    <row r="43" spans="1:4" ht="16.5" customHeight="1">
      <c r="A43" s="75"/>
      <c r="B43" s="75"/>
      <c r="C43" s="75"/>
      <c r="D43" s="75"/>
    </row>
    <row r="44" spans="1:4" ht="16.5" customHeight="1">
      <c r="A44" s="73"/>
      <c r="B44" s="74"/>
      <c r="C44" s="73"/>
      <c r="D44" s="74"/>
    </row>
    <row r="45" spans="1:4" ht="16.5" customHeight="1">
      <c r="A45" s="76"/>
      <c r="B45" s="77"/>
      <c r="C45" s="2249" t="s">
        <v>2265</v>
      </c>
      <c r="D45" s="2249"/>
    </row>
    <row r="46" spans="1:4" ht="18.75" customHeight="1">
      <c r="A46" s="73"/>
      <c r="B46" s="74"/>
      <c r="C46" s="73"/>
      <c r="D46" s="74"/>
    </row>
    <row r="47" spans="1:4" ht="20.25" customHeight="1">
      <c r="A47" s="73"/>
      <c r="B47" s="2250" t="s">
        <v>81</v>
      </c>
      <c r="C47" s="2250"/>
      <c r="D47" s="2250"/>
    </row>
    <row r="48" spans="1:4" ht="13.5" customHeight="1">
      <c r="A48" s="73"/>
      <c r="B48" s="74"/>
      <c r="C48" s="73"/>
      <c r="D48" s="74"/>
    </row>
    <row r="49" spans="1:4" ht="13.5" customHeight="1">
      <c r="A49" s="73"/>
      <c r="B49" s="74"/>
      <c r="C49" s="73"/>
      <c r="D49" s="74"/>
    </row>
    <row r="50" spans="1:4" ht="13.5" customHeight="1">
      <c r="A50" s="2251"/>
      <c r="B50" s="2251"/>
      <c r="C50" s="2251"/>
      <c r="D50" s="2251"/>
    </row>
    <row r="51" spans="1:4" ht="13.5" customHeight="1">
      <c r="A51" s="2251"/>
      <c r="B51" s="2251"/>
      <c r="C51" s="2251"/>
      <c r="D51" s="2251"/>
    </row>
  </sheetData>
  <mergeCells count="10">
    <mergeCell ref="A50:D51"/>
    <mergeCell ref="A6:B6"/>
    <mergeCell ref="C6:D6"/>
    <mergeCell ref="A31:B31"/>
    <mergeCell ref="C31:D31"/>
    <mergeCell ref="A1:D1"/>
    <mergeCell ref="A39:D40"/>
    <mergeCell ref="A41:D41"/>
    <mergeCell ref="C45:D45"/>
    <mergeCell ref="B47:D47"/>
  </mergeCells>
  <phoneticPr fontId="3" type="noConversion"/>
  <pageMargins left="0.94488188976377963" right="0.78740157480314965" top="0.6692913385826772" bottom="0.98425196850393704" header="0.51181102362204722" footer="0.51181102362204722"/>
  <pageSetup paperSize="9" scale="94" orientation="landscape" r:id="rId1"/>
  <ignoredErrors>
    <ignoredError sqref="B3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5652B-2F27-4F37-A4FA-F85B4AD183C5}">
  <dimension ref="A1:K19"/>
  <sheetViews>
    <sheetView zoomScaleNormal="100" workbookViewId="0">
      <selection activeCell="J14" sqref="J14"/>
    </sheetView>
  </sheetViews>
  <sheetFormatPr defaultRowHeight="16.5"/>
  <cols>
    <col min="1" max="1" width="26.875" customWidth="1"/>
    <col min="2" max="2" width="8.25" customWidth="1"/>
  </cols>
  <sheetData>
    <row r="1" spans="1:11" ht="13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3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43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3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3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13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3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3.5" customHeight="1">
      <c r="A8" s="4"/>
      <c r="B8" s="4"/>
      <c r="C8" s="15"/>
      <c r="D8" s="15"/>
      <c r="E8" s="15"/>
      <c r="F8" s="15"/>
      <c r="G8" s="15"/>
      <c r="H8" s="15"/>
      <c r="I8" s="4"/>
      <c r="J8" s="4"/>
      <c r="K8" s="4"/>
    </row>
    <row r="9" spans="1:11" ht="46.5" customHeight="1">
      <c r="A9" s="4"/>
      <c r="B9" s="2239" t="s">
        <v>126</v>
      </c>
      <c r="C9" s="2239"/>
      <c r="D9" s="2239"/>
      <c r="E9" s="2239"/>
      <c r="F9" s="2239"/>
      <c r="G9" s="2239"/>
      <c r="H9" s="2239"/>
      <c r="I9" s="71"/>
      <c r="J9" s="4"/>
      <c r="K9" s="4"/>
    </row>
    <row r="10" spans="1:11" ht="13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3.5" customHeight="1">
      <c r="A11" s="72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3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46.5" customHeight="1">
      <c r="A13" s="4"/>
      <c r="B13" s="4"/>
      <c r="C13" s="15"/>
      <c r="D13" s="15"/>
      <c r="E13" s="15"/>
      <c r="F13" s="15"/>
      <c r="G13" s="15"/>
      <c r="H13" s="15"/>
      <c r="I13" s="71"/>
      <c r="J13" s="71"/>
      <c r="K13" s="71"/>
    </row>
    <row r="14" spans="1:11" ht="13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29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3.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3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13.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30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</sheetData>
  <mergeCells count="1">
    <mergeCell ref="B9:H9"/>
  </mergeCells>
  <phoneticPr fontId="3" type="noConversion"/>
  <pageMargins left="0.94488188976377963" right="0.78740157480314965" top="0.6692913385826772" bottom="0.98425196850393704" header="0.51181102362204722" footer="0.5118110236220472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4CB87-6B3C-4B26-BFC5-9194ACAA036A}">
  <dimension ref="A1:H22"/>
  <sheetViews>
    <sheetView zoomScaleNormal="100" workbookViewId="0">
      <selection activeCell="E26" sqref="E26"/>
    </sheetView>
  </sheetViews>
  <sheetFormatPr defaultRowHeight="16.5"/>
  <cols>
    <col min="2" max="2" width="33.875" customWidth="1"/>
    <col min="3" max="3" width="21.25" customWidth="1"/>
    <col min="4" max="4" width="33.875" customWidth="1"/>
    <col min="5" max="5" width="21.25" customWidth="1"/>
    <col min="6" max="6" width="33.875" customWidth="1"/>
    <col min="7" max="7" width="21.25" customWidth="1"/>
  </cols>
  <sheetData>
    <row r="1" spans="1:8" ht="25.5" customHeight="1">
      <c r="A1" s="106" t="s">
        <v>127</v>
      </c>
    </row>
    <row r="2" spans="1:8" ht="13.5" customHeight="1"/>
    <row r="3" spans="1:8" ht="13.5" customHeight="1"/>
    <row r="4" spans="1:8" ht="14.25" customHeight="1" thickBot="1">
      <c r="A4" s="107" t="s">
        <v>128</v>
      </c>
      <c r="B4" s="73"/>
      <c r="C4" s="108"/>
      <c r="D4" s="2262" t="s">
        <v>129</v>
      </c>
      <c r="E4" s="2262"/>
      <c r="F4" s="108"/>
      <c r="G4" s="80" t="s">
        <v>980</v>
      </c>
    </row>
    <row r="5" spans="1:8" ht="24" customHeight="1" thickBot="1">
      <c r="A5" s="109" t="s">
        <v>130</v>
      </c>
      <c r="B5" s="2263" t="s">
        <v>131</v>
      </c>
      <c r="C5" s="2264"/>
      <c r="D5" s="2265" t="s">
        <v>132</v>
      </c>
      <c r="E5" s="2266"/>
      <c r="F5" s="2267" t="s">
        <v>133</v>
      </c>
      <c r="G5" s="2268"/>
    </row>
    <row r="6" spans="1:8" ht="24" customHeight="1" thickBot="1">
      <c r="A6" s="2260" t="s">
        <v>134</v>
      </c>
      <c r="B6" s="125" t="s">
        <v>136</v>
      </c>
      <c r="C6" s="2052">
        <f>SUM(C7:C11)</f>
        <v>47061935</v>
      </c>
      <c r="D6" s="128" t="s">
        <v>148</v>
      </c>
      <c r="E6" s="2101">
        <f>SUM(E7:E11)</f>
        <v>4109661</v>
      </c>
      <c r="F6" s="124" t="s">
        <v>160</v>
      </c>
      <c r="G6" s="2136">
        <f>SUM(G7:G11)</f>
        <v>51171596</v>
      </c>
      <c r="H6" s="126"/>
    </row>
    <row r="7" spans="1:8" ht="24" customHeight="1" thickBot="1">
      <c r="A7" s="2261"/>
      <c r="B7" s="113" t="s">
        <v>137</v>
      </c>
      <c r="C7" s="2100">
        <f>'3-1. 사업예산총괄표'!C6</f>
        <v>47061935</v>
      </c>
      <c r="D7" s="117" t="s">
        <v>149</v>
      </c>
      <c r="E7" s="2102">
        <v>0</v>
      </c>
      <c r="F7" s="119" t="s">
        <v>137</v>
      </c>
      <c r="G7" s="2051">
        <f>C7</f>
        <v>47061935</v>
      </c>
    </row>
    <row r="8" spans="1:8" ht="24" customHeight="1" thickBot="1">
      <c r="A8" s="2261"/>
      <c r="B8" s="114" t="s">
        <v>138</v>
      </c>
      <c r="C8" s="2100">
        <f>'3-1. 사업예산총괄표'!C13</f>
        <v>0</v>
      </c>
      <c r="D8" s="117" t="s">
        <v>150</v>
      </c>
      <c r="E8" s="2102">
        <v>0</v>
      </c>
      <c r="F8" s="119" t="s">
        <v>161</v>
      </c>
      <c r="G8" s="2051">
        <f t="shared" ref="G8:G9" si="0">C8</f>
        <v>0</v>
      </c>
    </row>
    <row r="9" spans="1:8" ht="24" customHeight="1" thickBot="1">
      <c r="A9" s="2261"/>
      <c r="B9" s="114"/>
      <c r="C9" s="2100"/>
      <c r="D9" s="117" t="s">
        <v>151</v>
      </c>
      <c r="E9" s="2102">
        <v>0</v>
      </c>
      <c r="F9" s="119" t="s">
        <v>151</v>
      </c>
      <c r="G9" s="2051">
        <f t="shared" si="0"/>
        <v>0</v>
      </c>
    </row>
    <row r="10" spans="1:8" ht="24" customHeight="1">
      <c r="A10" s="2269"/>
      <c r="B10" s="114"/>
      <c r="C10" s="2100"/>
      <c r="D10" s="117" t="s">
        <v>152</v>
      </c>
      <c r="E10" s="2102">
        <f>'3-2. 자본예산총괄표'!C17</f>
        <v>3609661</v>
      </c>
      <c r="F10" s="119" t="s">
        <v>152</v>
      </c>
      <c r="G10" s="2051">
        <f>E10</f>
        <v>3609661</v>
      </c>
    </row>
    <row r="11" spans="1:8" ht="24" customHeight="1" thickBot="1">
      <c r="A11" s="110"/>
      <c r="B11" s="115"/>
      <c r="C11" s="2017"/>
      <c r="D11" s="129" t="s">
        <v>153</v>
      </c>
      <c r="E11" s="2102">
        <f>'3-2. 자본예산총괄표'!C21</f>
        <v>500000</v>
      </c>
      <c r="F11" s="120" t="s">
        <v>162</v>
      </c>
      <c r="G11" s="2051">
        <f>E11</f>
        <v>500000</v>
      </c>
    </row>
    <row r="12" spans="1:8" ht="24" customHeight="1" thickBot="1">
      <c r="A12" s="2260" t="s">
        <v>135</v>
      </c>
      <c r="B12" s="112" t="s">
        <v>139</v>
      </c>
      <c r="C12" s="1849">
        <f>SUM(C13:C21)</f>
        <v>47061935</v>
      </c>
      <c r="D12" s="130" t="s">
        <v>154</v>
      </c>
      <c r="E12" s="2101">
        <f>SUM(E13:E21)</f>
        <v>4109661</v>
      </c>
      <c r="F12" s="118" t="s">
        <v>163</v>
      </c>
      <c r="G12" s="2101">
        <f>SUM(G13:G21)</f>
        <v>51171596</v>
      </c>
    </row>
    <row r="13" spans="1:8" ht="24" customHeight="1" thickBot="1">
      <c r="A13" s="2261"/>
      <c r="B13" s="113" t="s">
        <v>140</v>
      </c>
      <c r="C13" s="2100">
        <f>'나. 지출예산 총괄표'!H8</f>
        <v>2152535</v>
      </c>
      <c r="D13" s="117" t="s">
        <v>140</v>
      </c>
      <c r="E13" s="2102">
        <f>'나. 지출예산 총괄표'!H293</f>
        <v>37600</v>
      </c>
      <c r="F13" s="117" t="s">
        <v>140</v>
      </c>
      <c r="G13" s="2051">
        <f>C13+E13</f>
        <v>2190135</v>
      </c>
    </row>
    <row r="14" spans="1:8" ht="24" customHeight="1" thickBot="1">
      <c r="A14" s="2261"/>
      <c r="B14" s="114" t="s">
        <v>141</v>
      </c>
      <c r="C14" s="2100">
        <f>'나. 지출예산 총괄표'!H89</f>
        <v>2905694</v>
      </c>
      <c r="D14" s="117" t="s">
        <v>141</v>
      </c>
      <c r="E14" s="2102">
        <f>'나. 지출예산 총괄표'!H306</f>
        <v>141900</v>
      </c>
      <c r="F14" s="117" t="s">
        <v>141</v>
      </c>
      <c r="G14" s="2051">
        <f t="shared" ref="G14:G21" si="1">C14+E14</f>
        <v>3047594</v>
      </c>
    </row>
    <row r="15" spans="1:8" ht="24" customHeight="1" thickBot="1">
      <c r="A15" s="2261"/>
      <c r="B15" s="114" t="s">
        <v>142</v>
      </c>
      <c r="C15" s="2100">
        <f>'나. 지출예산 총괄표'!H163</f>
        <v>24461672</v>
      </c>
      <c r="D15" s="117" t="s">
        <v>142</v>
      </c>
      <c r="E15" s="2102">
        <f>'나. 지출예산 총괄표'!H323</f>
        <v>3428809</v>
      </c>
      <c r="F15" s="117" t="s">
        <v>142</v>
      </c>
      <c r="G15" s="2051">
        <f t="shared" si="1"/>
        <v>27890481</v>
      </c>
    </row>
    <row r="16" spans="1:8" ht="24" customHeight="1" thickBot="1">
      <c r="A16" s="2261"/>
      <c r="B16" s="114" t="s">
        <v>143</v>
      </c>
      <c r="C16" s="2100">
        <f>'나. 지출예산 총괄표'!H234</f>
        <v>17542034</v>
      </c>
      <c r="D16" s="117" t="s">
        <v>155</v>
      </c>
      <c r="E16" s="2102">
        <f>'나. 지출예산 총괄표'!H346</f>
        <v>1352</v>
      </c>
      <c r="F16" s="117" t="s">
        <v>143</v>
      </c>
      <c r="G16" s="2051">
        <f t="shared" si="1"/>
        <v>17543386</v>
      </c>
    </row>
    <row r="17" spans="1:7" ht="24" customHeight="1" thickBot="1">
      <c r="A17" s="2261"/>
      <c r="B17" s="114" t="s">
        <v>144</v>
      </c>
      <c r="C17" s="2100">
        <f>'3-1. 사업예산총괄표'!F17</f>
        <v>0</v>
      </c>
      <c r="D17" s="117"/>
      <c r="E17" s="2102"/>
      <c r="F17" s="119" t="s">
        <v>144</v>
      </c>
      <c r="G17" s="2051">
        <f t="shared" si="1"/>
        <v>0</v>
      </c>
    </row>
    <row r="18" spans="1:7" ht="24" customHeight="1" thickBot="1">
      <c r="A18" s="2261"/>
      <c r="B18" s="114" t="s">
        <v>145</v>
      </c>
      <c r="C18" s="2100">
        <f>'3-1. 사업예산총괄표'!F19</f>
        <v>0</v>
      </c>
      <c r="D18" s="117" t="s">
        <v>145</v>
      </c>
      <c r="E18" s="2102">
        <f>'나. 지출예산 총괄표'!H350</f>
        <v>500000</v>
      </c>
      <c r="F18" s="119" t="s">
        <v>145</v>
      </c>
      <c r="G18" s="2051">
        <f t="shared" si="1"/>
        <v>500000</v>
      </c>
    </row>
    <row r="19" spans="1:7" ht="24" customHeight="1" thickBot="1">
      <c r="A19" s="2261"/>
      <c r="B19" s="114" t="s">
        <v>146</v>
      </c>
      <c r="C19" s="2100"/>
      <c r="D19" s="117" t="s">
        <v>156</v>
      </c>
      <c r="E19" s="2102">
        <v>0</v>
      </c>
      <c r="F19" s="119" t="s">
        <v>156</v>
      </c>
      <c r="G19" s="2051">
        <f t="shared" si="1"/>
        <v>0</v>
      </c>
    </row>
    <row r="20" spans="1:7" ht="24" customHeight="1" thickBot="1">
      <c r="A20" s="2261"/>
      <c r="B20" s="114"/>
      <c r="C20" s="2100"/>
      <c r="D20" s="117" t="s">
        <v>157</v>
      </c>
      <c r="E20" s="2102">
        <v>0</v>
      </c>
      <c r="F20" s="119" t="s">
        <v>157</v>
      </c>
      <c r="G20" s="2051">
        <f t="shared" si="1"/>
        <v>0</v>
      </c>
    </row>
    <row r="21" spans="1:7" ht="24" customHeight="1" thickBot="1">
      <c r="A21" s="2261"/>
      <c r="B21" s="115"/>
      <c r="C21" s="2017"/>
      <c r="D21" s="129" t="s">
        <v>158</v>
      </c>
      <c r="E21" s="2082">
        <f>'3-2. 자본예산총괄표'!C24</f>
        <v>0</v>
      </c>
      <c r="F21" s="120" t="s">
        <v>158</v>
      </c>
      <c r="G21" s="2051">
        <f t="shared" si="1"/>
        <v>0</v>
      </c>
    </row>
    <row r="22" spans="1:7" ht="24" customHeight="1" thickBot="1">
      <c r="A22" s="111"/>
      <c r="B22" s="116" t="s">
        <v>147</v>
      </c>
      <c r="C22" s="2103">
        <f>SUM(C6-C12)</f>
        <v>0</v>
      </c>
      <c r="D22" s="131" t="s">
        <v>159</v>
      </c>
      <c r="E22" s="2104">
        <f>SUM(E6-E12)</f>
        <v>0</v>
      </c>
      <c r="F22" s="121" t="s">
        <v>164</v>
      </c>
      <c r="G22" s="2105">
        <f>SUM(G6-G12)</f>
        <v>0</v>
      </c>
    </row>
  </sheetData>
  <mergeCells count="6">
    <mergeCell ref="A12:A21"/>
    <mergeCell ref="D4:E4"/>
    <mergeCell ref="B5:C5"/>
    <mergeCell ref="D5:E5"/>
    <mergeCell ref="F5:G5"/>
    <mergeCell ref="A6:A10"/>
  </mergeCells>
  <phoneticPr fontId="3" type="noConversion"/>
  <pageMargins left="0.94488188976377951" right="0.78740157480314965" top="0.6692913385826772" bottom="0.98425196850393704" header="0.51181102362204722" footer="0.51181102362204722"/>
  <pageSetup paperSize="9" scale="6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68FD7-D57A-4A08-A7B4-38D9092367F3}">
  <dimension ref="A1:F21"/>
  <sheetViews>
    <sheetView zoomScaleNormal="100" workbookViewId="0">
      <selection activeCell="J14" sqref="J14"/>
    </sheetView>
  </sheetViews>
  <sheetFormatPr defaultRowHeight="16.5"/>
  <cols>
    <col min="1" max="6" width="21.125" customWidth="1"/>
  </cols>
  <sheetData>
    <row r="1" spans="1:6" ht="37.5" customHeight="1">
      <c r="A1" s="132" t="s">
        <v>165</v>
      </c>
    </row>
    <row r="2" spans="1:6" ht="20.100000000000001" customHeight="1" thickBot="1">
      <c r="A2" s="2273"/>
      <c r="B2" s="2273"/>
      <c r="C2" s="133"/>
      <c r="D2" s="134"/>
      <c r="E2" s="134"/>
      <c r="F2" s="135" t="s">
        <v>980</v>
      </c>
    </row>
    <row r="3" spans="1:6" ht="24.95" customHeight="1" thickBot="1">
      <c r="A3" s="2274" t="s">
        <v>166</v>
      </c>
      <c r="B3" s="2275"/>
      <c r="C3" s="2276"/>
      <c r="D3" s="2275" t="s">
        <v>167</v>
      </c>
      <c r="E3" s="2275"/>
      <c r="F3" s="2277"/>
    </row>
    <row r="4" spans="1:6" ht="24.95" customHeight="1">
      <c r="A4" s="2278" t="s">
        <v>168</v>
      </c>
      <c r="B4" s="2279"/>
      <c r="C4" s="136" t="s">
        <v>169</v>
      </c>
      <c r="D4" s="2280" t="s">
        <v>168</v>
      </c>
      <c r="E4" s="2281"/>
      <c r="F4" s="137" t="s">
        <v>169</v>
      </c>
    </row>
    <row r="5" spans="1:6" ht="24.95" customHeight="1">
      <c r="A5" s="2282" t="s">
        <v>170</v>
      </c>
      <c r="B5" s="2283"/>
      <c r="C5" s="2098">
        <f>C6+C13</f>
        <v>47061935</v>
      </c>
      <c r="D5" s="2284" t="s">
        <v>178</v>
      </c>
      <c r="E5" s="2283"/>
      <c r="F5" s="2099">
        <f>F6+F13+F15+F17+F19</f>
        <v>47061935</v>
      </c>
    </row>
    <row r="6" spans="1:6" ht="24.95" customHeight="1">
      <c r="A6" s="138" t="s">
        <v>137</v>
      </c>
      <c r="B6" s="139" t="s">
        <v>171</v>
      </c>
      <c r="C6" s="2087">
        <f>SUM(C7:C10)</f>
        <v>47061935</v>
      </c>
      <c r="D6" s="157" t="s">
        <v>179</v>
      </c>
      <c r="E6" s="150" t="s">
        <v>171</v>
      </c>
      <c r="F6" s="2051">
        <f>SUM(F7:F10)</f>
        <v>47061935</v>
      </c>
    </row>
    <row r="7" spans="1:6" ht="24.95" customHeight="1">
      <c r="A7" s="140"/>
      <c r="B7" s="141" t="s">
        <v>172</v>
      </c>
      <c r="C7" s="2088">
        <v>0</v>
      </c>
      <c r="D7" s="158"/>
      <c r="E7" s="151" t="s">
        <v>180</v>
      </c>
      <c r="F7" s="2092">
        <v>0</v>
      </c>
    </row>
    <row r="8" spans="1:6" ht="24.95" customHeight="1">
      <c r="A8" s="140"/>
      <c r="B8" s="141" t="s">
        <v>173</v>
      </c>
      <c r="C8" s="2088">
        <v>0</v>
      </c>
      <c r="D8" s="158"/>
      <c r="E8" s="151" t="s">
        <v>181</v>
      </c>
      <c r="F8" s="2051">
        <v>0</v>
      </c>
    </row>
    <row r="9" spans="1:6" ht="24.95" customHeight="1">
      <c r="A9" s="140"/>
      <c r="B9" s="142" t="s">
        <v>174</v>
      </c>
      <c r="C9" s="2087">
        <f>'가. 수입예산 총괄표(사업수익+자본적수입)'!F10</f>
        <v>29519901</v>
      </c>
      <c r="D9" s="158"/>
      <c r="E9" s="151" t="s">
        <v>182</v>
      </c>
      <c r="F9" s="2092">
        <f>'가. 수입예산 총괄표(사업수익+자본적수입)'!F10</f>
        <v>29519901</v>
      </c>
    </row>
    <row r="10" spans="1:6" ht="24.95" customHeight="1">
      <c r="A10" s="140"/>
      <c r="B10" s="142" t="s">
        <v>175</v>
      </c>
      <c r="C10" s="2089">
        <f>'가. 수입예산 총괄표(사업수익+자본적수입)'!F22</f>
        <v>17542034</v>
      </c>
      <c r="D10" s="158"/>
      <c r="E10" s="151" t="s">
        <v>183</v>
      </c>
      <c r="F10" s="2051">
        <f>'가. 수입예산 총괄표(사업수익+자본적수입)'!F22</f>
        <v>17542034</v>
      </c>
    </row>
    <row r="11" spans="1:6" ht="24.95" customHeight="1">
      <c r="A11" s="140"/>
      <c r="B11" s="143"/>
      <c r="C11" s="2088"/>
      <c r="D11" s="158"/>
      <c r="E11" s="152"/>
      <c r="F11" s="2093"/>
    </row>
    <row r="12" spans="1:6" ht="24.95" customHeight="1">
      <c r="A12" s="144"/>
      <c r="B12" s="160"/>
      <c r="C12" s="2090"/>
      <c r="D12" s="156"/>
      <c r="E12" s="160"/>
      <c r="F12" s="2094"/>
    </row>
    <row r="13" spans="1:6" ht="24.95" customHeight="1">
      <c r="A13" s="138" t="s">
        <v>161</v>
      </c>
      <c r="B13" s="146" t="s">
        <v>171</v>
      </c>
      <c r="C13" s="2087">
        <f>SUM(C14:C15)</f>
        <v>0</v>
      </c>
      <c r="D13" s="157" t="s">
        <v>184</v>
      </c>
      <c r="E13" s="146" t="s">
        <v>171</v>
      </c>
      <c r="F13" s="2095">
        <f>F14</f>
        <v>0</v>
      </c>
    </row>
    <row r="14" spans="1:6" ht="24.95" customHeight="1">
      <c r="A14" s="140"/>
      <c r="B14" s="141" t="s">
        <v>176</v>
      </c>
      <c r="C14" s="2089">
        <v>0</v>
      </c>
      <c r="D14" s="159"/>
      <c r="E14" s="142" t="s">
        <v>185</v>
      </c>
      <c r="F14" s="2094">
        <f>'가. 수입예산 총괄표(사업수익+자본적수입)'!F25</f>
        <v>0</v>
      </c>
    </row>
    <row r="15" spans="1:6" ht="24.95" customHeight="1">
      <c r="A15" s="140"/>
      <c r="B15" s="141" t="s">
        <v>177</v>
      </c>
      <c r="C15" s="2089">
        <f>'가. 수입예산 총괄표(사업수익+자본적수입)'!F25</f>
        <v>0</v>
      </c>
      <c r="D15" s="157" t="s">
        <v>186</v>
      </c>
      <c r="E15" s="153" t="s">
        <v>171</v>
      </c>
      <c r="F15" s="2051">
        <f>F16</f>
        <v>0</v>
      </c>
    </row>
    <row r="16" spans="1:6" ht="24.95" customHeight="1">
      <c r="A16" s="140"/>
      <c r="B16" s="147"/>
      <c r="C16" s="2088"/>
      <c r="D16" s="159"/>
      <c r="E16" s="145" t="s">
        <v>186</v>
      </c>
      <c r="F16" s="2094">
        <v>0</v>
      </c>
    </row>
    <row r="17" spans="1:6" ht="24.95" customHeight="1">
      <c r="A17" s="140"/>
      <c r="B17" s="141"/>
      <c r="C17" s="2088"/>
      <c r="D17" s="157" t="s">
        <v>144</v>
      </c>
      <c r="E17" s="153" t="s">
        <v>171</v>
      </c>
      <c r="F17" s="2096">
        <f>F18</f>
        <v>0</v>
      </c>
    </row>
    <row r="18" spans="1:6" ht="24.95" customHeight="1">
      <c r="A18" s="140"/>
      <c r="B18" s="141"/>
      <c r="C18" s="2087"/>
      <c r="D18" s="159"/>
      <c r="E18" s="145" t="s">
        <v>144</v>
      </c>
      <c r="F18" s="2097">
        <v>0</v>
      </c>
    </row>
    <row r="19" spans="1:6" ht="24.95" customHeight="1">
      <c r="A19" s="140"/>
      <c r="B19" s="141"/>
      <c r="C19" s="2089"/>
      <c r="D19" s="157" t="s">
        <v>187</v>
      </c>
      <c r="E19" s="154" t="s">
        <v>188</v>
      </c>
      <c r="F19" s="2051">
        <v>0</v>
      </c>
    </row>
    <row r="20" spans="1:6" ht="24.95" customHeight="1">
      <c r="A20" s="148"/>
      <c r="B20" s="149"/>
      <c r="C20" s="2091"/>
      <c r="D20" s="156"/>
      <c r="E20" s="155"/>
      <c r="F20" s="2094"/>
    </row>
    <row r="21" spans="1:6" ht="24.95" customHeight="1" thickBot="1">
      <c r="A21" s="2270" t="s">
        <v>189</v>
      </c>
      <c r="B21" s="2271"/>
      <c r="C21" s="2272"/>
      <c r="D21" s="122"/>
      <c r="E21" s="122"/>
      <c r="F21" s="30">
        <v>0</v>
      </c>
    </row>
  </sheetData>
  <mergeCells count="8">
    <mergeCell ref="A21:C21"/>
    <mergeCell ref="A2:B2"/>
    <mergeCell ref="A3:C3"/>
    <mergeCell ref="D3:F3"/>
    <mergeCell ref="A4:B4"/>
    <mergeCell ref="D4:E4"/>
    <mergeCell ref="A5:B5"/>
    <mergeCell ref="D5:E5"/>
  </mergeCells>
  <phoneticPr fontId="3" type="noConversion"/>
  <pageMargins left="0.94488188976377951" right="0.78740157480314965" top="0.6692913385826772" bottom="0.98425196850393704" header="0.51181102362204722" footer="0.51181102362204722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21</vt:i4>
      </vt:variant>
      <vt:variant>
        <vt:lpstr>이름 지정된 범위</vt:lpstr>
      </vt:variant>
      <vt:variant>
        <vt:i4>15</vt:i4>
      </vt:variant>
    </vt:vector>
  </HeadingPairs>
  <TitlesOfParts>
    <vt:vector size="36" baseType="lpstr">
      <vt:lpstr>표지</vt:lpstr>
      <vt:lpstr>목차</vt:lpstr>
      <vt:lpstr>1. 사업운영계획</vt:lpstr>
      <vt:lpstr>사업운영계획 1장</vt:lpstr>
      <vt:lpstr>2. 예산총칙</vt:lpstr>
      <vt:lpstr>예산총칙</vt:lpstr>
      <vt:lpstr>3. 예산총괄표</vt:lpstr>
      <vt:lpstr>예산총괄표 3장</vt:lpstr>
      <vt:lpstr>3-1. 사업예산총괄표</vt:lpstr>
      <vt:lpstr>3-2. 자본예산총괄표</vt:lpstr>
      <vt:lpstr>가. 수입예산 총괄표(사업수익+자본적수입)</vt:lpstr>
      <vt:lpstr>나. 지출예산 총괄표</vt:lpstr>
      <vt:lpstr>경영본부</vt:lpstr>
      <vt:lpstr>교통휴양시설부</vt:lpstr>
      <vt:lpstr>도시미화부</vt:lpstr>
      <vt:lpstr>체육시설부</vt:lpstr>
      <vt:lpstr>환경자원사업소</vt:lpstr>
      <vt:lpstr>4. 자금운영계획</vt:lpstr>
      <vt:lpstr>자금운용수입 4장</vt:lpstr>
      <vt:lpstr>자금운용지출5장</vt:lpstr>
      <vt:lpstr>2025년 사고이월 사업조서</vt:lpstr>
      <vt:lpstr>'1. 사업운영계획'!Print_Area</vt:lpstr>
      <vt:lpstr>'2. 예산총칙'!Print_Area</vt:lpstr>
      <vt:lpstr>'3. 예산총괄표'!Print_Area</vt:lpstr>
      <vt:lpstr>'4. 자금운영계획'!Print_Area</vt:lpstr>
      <vt:lpstr>경영본부!Print_Area</vt:lpstr>
      <vt:lpstr>교통휴양시설부!Print_Area</vt:lpstr>
      <vt:lpstr>'나. 지출예산 총괄표'!Print_Area</vt:lpstr>
      <vt:lpstr>도시미화부!Print_Area</vt:lpstr>
      <vt:lpstr>목차!Print_Area</vt:lpstr>
      <vt:lpstr>'사업운영계획 1장'!Print_Area</vt:lpstr>
      <vt:lpstr>'예산총괄표 3장'!Print_Area</vt:lpstr>
      <vt:lpstr>자금운용지출5장!Print_Area</vt:lpstr>
      <vt:lpstr>체육시설부!Print_Area</vt:lpstr>
      <vt:lpstr>표지!Print_Area</vt:lpstr>
      <vt:lpstr>환경자원사업소!Print_Area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</dc:creator>
  <cp:lastModifiedBy>JY</cp:lastModifiedBy>
  <cp:lastPrinted>2025-12-21T06:40:42Z</cp:lastPrinted>
  <dcterms:created xsi:type="dcterms:W3CDTF">2025-12-06T05:50:37Z</dcterms:created>
  <dcterms:modified xsi:type="dcterms:W3CDTF">2026-02-19T00:19:58Z</dcterms:modified>
</cp:coreProperties>
</file>